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tables/table1.xml" ContentType="application/vnd.openxmlformats-officedocument.spreadsheetml.tab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xml"/>
  <Override PartName="/xl/tables/table2.xml" ContentType="application/vnd.openxmlformats-officedocument.spreadsheetml.tab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tables/table3.xml" ContentType="application/vnd.openxmlformats-officedocument.spreadsheetml.tab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8.xml" ContentType="application/vnd.openxmlformats-officedocument.drawing+xml"/>
  <Override PartName="/xl/tables/table4.xml" ContentType="application/vnd.openxmlformats-officedocument.spreadsheetml.tab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tables/table5.xml" ContentType="application/vnd.openxmlformats-officedocument.spreadsheetml.tab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2.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https://d.docs.live.net/e03f223c2617fddb/Documents/"/>
    </mc:Choice>
  </mc:AlternateContent>
  <xr:revisionPtr revIDLastSave="1163" documentId="8_{201EEAB9-ACC2-4E00-8E2F-78153ED580AF}" xr6:coauthVersionLast="47" xr6:coauthVersionMax="47" xr10:uidLastSave="{87AE7765-656D-4FD3-8B85-1299106BB1CC}"/>
  <bookViews>
    <workbookView xWindow="-28920" yWindow="2730" windowWidth="29040" windowHeight="15720" tabRatio="850" xr2:uid="{A17B677B-17FC-4B4C-B7F1-0D577831612F}"/>
  </bookViews>
  <sheets>
    <sheet name="Documentation" sheetId="32" r:id="rId1"/>
    <sheet name="Base Forecast" sheetId="15" r:id="rId2"/>
    <sheet name="Bear Forecast" sheetId="26" r:id="rId3"/>
    <sheet name="Bull Forecast" sheetId="31" r:id="rId4"/>
    <sheet name="Gateway fore" sheetId="25" r:id="rId5"/>
    <sheet name="TS fore " sheetId="27" r:id="rId6"/>
    <sheet name="Conv fore " sheetId="28" r:id="rId7"/>
    <sheet name="Rental fore" sheetId="17" r:id="rId8"/>
    <sheet name="Marine fore" sheetId="19" r:id="rId9"/>
    <sheet name="Q4 forecast" sheetId="13" r:id="rId10"/>
    <sheet name="Working" sheetId="5" r:id="rId11"/>
    <sheet name="Slides" sheetId="9" r:id="rId12"/>
    <sheet name="Data" sheetId="10" r:id="rId13"/>
    <sheet name="IS" sheetId="11" r:id="rId14"/>
    <sheet name="Sheet3" sheetId="12" r:id="rId15"/>
  </sheets>
  <externalReferences>
    <externalReference r:id="rId16"/>
  </externalReferences>
  <definedNames>
    <definedName name="increment">Documentation!$B$2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11" i="31" l="1"/>
  <c r="R11" i="31"/>
  <c r="S11" i="31"/>
  <c r="Q12" i="31"/>
  <c r="R12" i="31"/>
  <c r="S12" i="31"/>
  <c r="P12" i="31"/>
  <c r="P11" i="31"/>
  <c r="C57" i="31"/>
  <c r="C56" i="31"/>
  <c r="Q11" i="26"/>
  <c r="R11" i="26"/>
  <c r="S11" i="26"/>
  <c r="Q12" i="26"/>
  <c r="R12" i="26"/>
  <c r="S12" i="26"/>
  <c r="P12" i="26"/>
  <c r="P11" i="26"/>
  <c r="C57" i="26"/>
  <c r="C56" i="26"/>
  <c r="Q11" i="15"/>
  <c r="R11" i="15"/>
  <c r="S11" i="15"/>
  <c r="Q12" i="15"/>
  <c r="R12" i="15"/>
  <c r="S12" i="15"/>
  <c r="P12" i="15"/>
  <c r="P11" i="15"/>
  <c r="C54" i="15"/>
  <c r="C53" i="15"/>
  <c r="D12" i="15"/>
  <c r="N11" i="31"/>
  <c r="E38" i="15" l="1"/>
  <c r="G46" i="31"/>
  <c r="S7" i="31" s="1"/>
  <c r="S15" i="31" s="1"/>
  <c r="F46" i="31"/>
  <c r="R7" i="31" s="1"/>
  <c r="R15" i="31" s="1"/>
  <c r="E46" i="31"/>
  <c r="Q7" i="31" s="1"/>
  <c r="Q15" i="31" s="1"/>
  <c r="D46" i="31"/>
  <c r="P7" i="31" s="1"/>
  <c r="P15" i="31" s="1"/>
  <c r="C46" i="31"/>
  <c r="O7" i="31" s="1"/>
  <c r="O15" i="31" s="1"/>
  <c r="G40" i="31"/>
  <c r="S3" i="31" s="1"/>
  <c r="F40" i="31"/>
  <c r="R3" i="31" s="1"/>
  <c r="E40" i="31"/>
  <c r="Q3" i="31" s="1"/>
  <c r="D40" i="31"/>
  <c r="P3" i="31" s="1"/>
  <c r="C40" i="31"/>
  <c r="O3" i="31" s="1"/>
  <c r="G34" i="31"/>
  <c r="S4" i="31" s="1"/>
  <c r="F34" i="31"/>
  <c r="R4" i="31" s="1"/>
  <c r="E34" i="31"/>
  <c r="Q4" i="31" s="1"/>
  <c r="D34" i="31"/>
  <c r="P4" i="31" s="1"/>
  <c r="C34" i="31"/>
  <c r="O4" i="31" s="1"/>
  <c r="E57" i="31"/>
  <c r="D57" i="31"/>
  <c r="E56" i="31"/>
  <c r="D56" i="31"/>
  <c r="B52" i="31"/>
  <c r="N20" i="31"/>
  <c r="M20" i="31"/>
  <c r="L20" i="31"/>
  <c r="K20" i="31"/>
  <c r="J20" i="31"/>
  <c r="I20" i="31"/>
  <c r="H20" i="31"/>
  <c r="G20" i="31"/>
  <c r="F20" i="31"/>
  <c r="E20" i="31"/>
  <c r="D20" i="31"/>
  <c r="C20" i="31"/>
  <c r="C21" i="31" s="1"/>
  <c r="N13" i="31"/>
  <c r="M13" i="31"/>
  <c r="L13" i="31"/>
  <c r="K13" i="31"/>
  <c r="J13" i="31"/>
  <c r="I13" i="31"/>
  <c r="H13" i="31"/>
  <c r="G13" i="31"/>
  <c r="F13" i="31"/>
  <c r="E13" i="31"/>
  <c r="D13" i="31"/>
  <c r="N10" i="31"/>
  <c r="M10" i="31"/>
  <c r="L10" i="31"/>
  <c r="K10" i="31"/>
  <c r="J10" i="31"/>
  <c r="I10" i="31"/>
  <c r="H10" i="31"/>
  <c r="G10" i="31"/>
  <c r="F10" i="31"/>
  <c r="E10" i="31"/>
  <c r="D10" i="31"/>
  <c r="C10" i="31"/>
  <c r="B10" i="31"/>
  <c r="N5" i="31"/>
  <c r="N9" i="31" s="1"/>
  <c r="C5" i="31"/>
  <c r="C9" i="31" s="1"/>
  <c r="B5" i="31"/>
  <c r="B9" i="31" s="1"/>
  <c r="C46" i="26"/>
  <c r="C40" i="26"/>
  <c r="O3" i="26" s="1"/>
  <c r="E57" i="26"/>
  <c r="D57" i="26"/>
  <c r="E56" i="26"/>
  <c r="D56" i="26"/>
  <c r="B52" i="26"/>
  <c r="G46" i="26"/>
  <c r="S7" i="26" s="1"/>
  <c r="S15" i="26" s="1"/>
  <c r="F46" i="26"/>
  <c r="R7" i="26" s="1"/>
  <c r="R15" i="26" s="1"/>
  <c r="E46" i="26"/>
  <c r="Q7" i="26" s="1"/>
  <c r="Q15" i="26" s="1"/>
  <c r="D46" i="26"/>
  <c r="P7" i="26" s="1"/>
  <c r="P15" i="26" s="1"/>
  <c r="O7" i="26"/>
  <c r="O15" i="26" s="1"/>
  <c r="G40" i="26"/>
  <c r="S3" i="26" s="1"/>
  <c r="F40" i="26"/>
  <c r="R3" i="26" s="1"/>
  <c r="E40" i="26"/>
  <c r="Q3" i="26" s="1"/>
  <c r="D40" i="26"/>
  <c r="P3" i="26" s="1"/>
  <c r="G34" i="26"/>
  <c r="S4" i="26" s="1"/>
  <c r="F34" i="26"/>
  <c r="R4" i="26" s="1"/>
  <c r="E34" i="26"/>
  <c r="Q4" i="26" s="1"/>
  <c r="D34" i="26"/>
  <c r="P4" i="26" s="1"/>
  <c r="C34" i="26"/>
  <c r="O4" i="26" s="1"/>
  <c r="N20" i="26"/>
  <c r="M20" i="26"/>
  <c r="L20" i="26"/>
  <c r="K20" i="26"/>
  <c r="J20" i="26"/>
  <c r="I20" i="26"/>
  <c r="H20" i="26"/>
  <c r="G20" i="26"/>
  <c r="F20" i="26"/>
  <c r="E20" i="26"/>
  <c r="D20" i="26"/>
  <c r="C20" i="26"/>
  <c r="C21" i="26" s="1"/>
  <c r="N13" i="26"/>
  <c r="M13" i="26"/>
  <c r="L13" i="26"/>
  <c r="K13" i="26"/>
  <c r="J13" i="26"/>
  <c r="I13" i="26"/>
  <c r="H13" i="26"/>
  <c r="G13" i="26"/>
  <c r="F13" i="26"/>
  <c r="E13" i="26"/>
  <c r="D13" i="26"/>
  <c r="N10" i="26"/>
  <c r="M10" i="26"/>
  <c r="L10" i="26"/>
  <c r="K10" i="26"/>
  <c r="J10" i="26"/>
  <c r="I10" i="26"/>
  <c r="H10" i="26"/>
  <c r="G10" i="26"/>
  <c r="F10" i="26"/>
  <c r="E10" i="26"/>
  <c r="D10" i="26"/>
  <c r="C10" i="26"/>
  <c r="B10" i="26"/>
  <c r="N5" i="26"/>
  <c r="N9" i="26" s="1"/>
  <c r="C5" i="26"/>
  <c r="C9" i="26" s="1"/>
  <c r="B5" i="26"/>
  <c r="B9" i="26" s="1"/>
  <c r="H7" i="13"/>
  <c r="D13" i="15"/>
  <c r="D33" i="15"/>
  <c r="P4" i="15" s="1"/>
  <c r="P14" i="15" s="1"/>
  <c r="E33" i="15"/>
  <c r="Q4" i="15" s="1"/>
  <c r="F33" i="15"/>
  <c r="R4" i="15" s="1"/>
  <c r="G33" i="15"/>
  <c r="S4" i="15" s="1"/>
  <c r="C33" i="15"/>
  <c r="O4" i="15" s="1"/>
  <c r="D43" i="15"/>
  <c r="P7" i="15" s="1"/>
  <c r="P15" i="15" s="1"/>
  <c r="E43" i="15"/>
  <c r="Q7" i="15" s="1"/>
  <c r="Q15" i="15" s="1"/>
  <c r="F43" i="15"/>
  <c r="R7" i="15" s="1"/>
  <c r="R15" i="15" s="1"/>
  <c r="G43" i="15"/>
  <c r="S7" i="15" s="1"/>
  <c r="S15" i="15" s="1"/>
  <c r="C43" i="15"/>
  <c r="O7" i="15" s="1"/>
  <c r="O15" i="15" s="1"/>
  <c r="D38" i="15"/>
  <c r="P3" i="15" s="1"/>
  <c r="Q3" i="15"/>
  <c r="F38" i="15"/>
  <c r="R3" i="15" s="1"/>
  <c r="G38" i="15"/>
  <c r="S3" i="15" s="1"/>
  <c r="C38" i="15"/>
  <c r="O3" i="15" s="1"/>
  <c r="N20" i="15"/>
  <c r="F13" i="15"/>
  <c r="E13" i="15"/>
  <c r="E54" i="15"/>
  <c r="D54" i="15"/>
  <c r="E53" i="15"/>
  <c r="D53" i="15"/>
  <c r="C15" i="28"/>
  <c r="C16" i="28"/>
  <c r="C17" i="28"/>
  <c r="C18" i="28"/>
  <c r="C19" i="28"/>
  <c r="C15" i="27"/>
  <c r="C16" i="27"/>
  <c r="C17" i="27"/>
  <c r="C18" i="27"/>
  <c r="C19" i="27"/>
  <c r="C17" i="25"/>
  <c r="C16" i="25"/>
  <c r="C18" i="25"/>
  <c r="C19" i="25"/>
  <c r="C15" i="25"/>
  <c r="S14" i="15" l="1"/>
  <c r="S20" i="15" s="1"/>
  <c r="S23" i="15" s="1"/>
  <c r="I21" i="26"/>
  <c r="H21" i="26"/>
  <c r="F56" i="31"/>
  <c r="G12" i="31"/>
  <c r="G11" i="31" s="1"/>
  <c r="Q5" i="31"/>
  <c r="Q9" i="31" s="1"/>
  <c r="N21" i="31"/>
  <c r="K21" i="26"/>
  <c r="J21" i="26"/>
  <c r="L21" i="26"/>
  <c r="N12" i="26"/>
  <c r="R5" i="31"/>
  <c r="R9" i="31" s="1"/>
  <c r="P10" i="31"/>
  <c r="I21" i="31"/>
  <c r="F57" i="31"/>
  <c r="D21" i="31"/>
  <c r="M21" i="31"/>
  <c r="D12" i="31"/>
  <c r="D11" i="31" s="1"/>
  <c r="E21" i="31"/>
  <c r="Q10" i="31"/>
  <c r="Q8" i="31" s="1"/>
  <c r="K21" i="31"/>
  <c r="L21" i="31"/>
  <c r="F21" i="31"/>
  <c r="J21" i="31"/>
  <c r="E12" i="31"/>
  <c r="E11" i="31" s="1"/>
  <c r="F12" i="31"/>
  <c r="F11" i="31" s="1"/>
  <c r="G21" i="31"/>
  <c r="P5" i="31"/>
  <c r="P9" i="31" s="1"/>
  <c r="N12" i="31"/>
  <c r="H21" i="31"/>
  <c r="O10" i="31"/>
  <c r="O8" i="31" s="1"/>
  <c r="R10" i="31"/>
  <c r="R8" i="31" s="1"/>
  <c r="R14" i="31"/>
  <c r="R20" i="31" s="1"/>
  <c r="S10" i="31"/>
  <c r="S8" i="31" s="1"/>
  <c r="S5" i="31"/>
  <c r="S9" i="31" s="1"/>
  <c r="S14" i="31"/>
  <c r="S20" i="31" s="1"/>
  <c r="O14" i="31"/>
  <c r="O20" i="31" s="1"/>
  <c r="O21" i="31" s="1"/>
  <c r="H12" i="31"/>
  <c r="H11" i="31" s="1"/>
  <c r="I12" i="31"/>
  <c r="I11" i="31" s="1"/>
  <c r="J12" i="31"/>
  <c r="J11" i="31" s="1"/>
  <c r="O5" i="31"/>
  <c r="O9" i="31" s="1"/>
  <c r="K12" i="31"/>
  <c r="K11" i="31" s="1"/>
  <c r="Q14" i="31"/>
  <c r="Q20" i="31" s="1"/>
  <c r="L12" i="31"/>
  <c r="L11" i="31" s="1"/>
  <c r="M12" i="31"/>
  <c r="M11" i="31" s="1"/>
  <c r="K12" i="26"/>
  <c r="K11" i="26" s="1"/>
  <c r="N21" i="26"/>
  <c r="L12" i="26"/>
  <c r="L11" i="26" s="1"/>
  <c r="M21" i="26"/>
  <c r="D12" i="26"/>
  <c r="D11" i="26" s="1"/>
  <c r="M12" i="26"/>
  <c r="M11" i="26" s="1"/>
  <c r="F57" i="26"/>
  <c r="G21" i="26"/>
  <c r="F21" i="26"/>
  <c r="E21" i="26"/>
  <c r="D21" i="26"/>
  <c r="J12" i="26"/>
  <c r="J11" i="26" s="1"/>
  <c r="F56" i="26"/>
  <c r="Q10" i="26"/>
  <c r="Q8" i="26" s="1"/>
  <c r="R10" i="26"/>
  <c r="R8" i="26" s="1"/>
  <c r="P10" i="26"/>
  <c r="S10" i="26"/>
  <c r="S8" i="26" s="1"/>
  <c r="O10" i="26"/>
  <c r="O8" i="26" s="1"/>
  <c r="P5" i="26"/>
  <c r="P9" i="26" s="1"/>
  <c r="R5" i="26"/>
  <c r="R9" i="26" s="1"/>
  <c r="O14" i="26"/>
  <c r="O20" i="26" s="1"/>
  <c r="O21" i="26" s="1"/>
  <c r="O5" i="26"/>
  <c r="O9" i="26" s="1"/>
  <c r="Q14" i="26"/>
  <c r="Q20" i="26" s="1"/>
  <c r="S5" i="26"/>
  <c r="S9" i="26" s="1"/>
  <c r="Q5" i="26"/>
  <c r="Q9" i="26" s="1"/>
  <c r="F12" i="26"/>
  <c r="F11" i="26" s="1"/>
  <c r="R14" i="26"/>
  <c r="R20" i="26" s="1"/>
  <c r="G12" i="26"/>
  <c r="G11" i="26" s="1"/>
  <c r="S14" i="26"/>
  <c r="S20" i="26" s="1"/>
  <c r="E12" i="26"/>
  <c r="E11" i="26" s="1"/>
  <c r="H12" i="26"/>
  <c r="H11" i="26" s="1"/>
  <c r="I12" i="26"/>
  <c r="I11" i="26" s="1"/>
  <c r="O14" i="15"/>
  <c r="O20" i="15" s="1"/>
  <c r="O21" i="15" s="1"/>
  <c r="R14" i="15"/>
  <c r="R20" i="15" s="1"/>
  <c r="Q14" i="15"/>
  <c r="Q20" i="15" s="1"/>
  <c r="F54" i="15"/>
  <c r="F53" i="15"/>
  <c r="E19" i="28"/>
  <c r="D19" i="28"/>
  <c r="E18" i="28"/>
  <c r="D18" i="28"/>
  <c r="E17" i="28"/>
  <c r="D17" i="28"/>
  <c r="E16" i="28"/>
  <c r="D16" i="28"/>
  <c r="E15" i="28"/>
  <c r="D15" i="28"/>
  <c r="D18" i="27"/>
  <c r="E17" i="27"/>
  <c r="E16" i="27"/>
  <c r="D16" i="27"/>
  <c r="D15" i="27"/>
  <c r="E19" i="27"/>
  <c r="E18" i="27"/>
  <c r="D17" i="27"/>
  <c r="E15" i="27"/>
  <c r="D19" i="27"/>
  <c r="E19" i="25"/>
  <c r="D19" i="25"/>
  <c r="E18" i="25"/>
  <c r="D18" i="25"/>
  <c r="D16" i="25"/>
  <c r="E16" i="25"/>
  <c r="D17" i="25"/>
  <c r="E17" i="25"/>
  <c r="D15" i="25"/>
  <c r="E15" i="25"/>
  <c r="N11" i="26" l="1"/>
  <c r="P14" i="26" s="1"/>
  <c r="P20" i="26" s="1"/>
  <c r="Q21" i="26" s="1"/>
  <c r="P14" i="31"/>
  <c r="P20" i="31" s="1"/>
  <c r="P21" i="31" s="1"/>
  <c r="S23" i="31"/>
  <c r="S21" i="31"/>
  <c r="R21" i="31"/>
  <c r="R21" i="26"/>
  <c r="S23" i="26"/>
  <c r="S21" i="26"/>
  <c r="S21" i="15"/>
  <c r="R21" i="15"/>
  <c r="P8" i="26" l="1"/>
  <c r="P21" i="26"/>
  <c r="P8" i="31"/>
  <c r="Q21" i="31"/>
  <c r="G13" i="15"/>
  <c r="H13" i="15"/>
  <c r="I13" i="15"/>
  <c r="J13" i="15"/>
  <c r="K13" i="15"/>
  <c r="L13" i="15"/>
  <c r="M13" i="15"/>
  <c r="N13" i="15"/>
  <c r="B49" i="15"/>
  <c r="B13" i="13"/>
  <c r="B10" i="15"/>
  <c r="C10" i="15"/>
  <c r="C5" i="15"/>
  <c r="C9" i="15" s="1"/>
  <c r="B5" i="15"/>
  <c r="B9" i="15" s="1"/>
  <c r="E10" i="15"/>
  <c r="F10" i="15"/>
  <c r="G10" i="15"/>
  <c r="H10" i="15"/>
  <c r="I10" i="15"/>
  <c r="J10" i="15"/>
  <c r="K10" i="15"/>
  <c r="L10" i="15"/>
  <c r="M10" i="15"/>
  <c r="N10" i="15"/>
  <c r="O10" i="15"/>
  <c r="O8" i="15" s="1"/>
  <c r="P10" i="15"/>
  <c r="Q10" i="15"/>
  <c r="Q8" i="15" s="1"/>
  <c r="R10" i="15"/>
  <c r="R8" i="15" s="1"/>
  <c r="S10" i="15"/>
  <c r="S8" i="15" s="1"/>
  <c r="D10" i="15"/>
  <c r="E13" i="13"/>
  <c r="B12" i="13"/>
  <c r="C20" i="15"/>
  <c r="C21" i="15" s="1"/>
  <c r="D20" i="15"/>
  <c r="E20" i="15"/>
  <c r="G20" i="13"/>
  <c r="F15" i="13"/>
  <c r="B21" i="13"/>
  <c r="F21" i="13"/>
  <c r="F18" i="13"/>
  <c r="F16" i="13"/>
  <c r="F14" i="13"/>
  <c r="F11" i="13" s="1"/>
  <c r="E21" i="13"/>
  <c r="D21" i="13"/>
  <c r="C21" i="13"/>
  <c r="F19" i="13"/>
  <c r="F20" i="13"/>
  <c r="F17" i="13"/>
  <c r="E14" i="13"/>
  <c r="G20" i="15"/>
  <c r="H20" i="15"/>
  <c r="I20" i="15"/>
  <c r="J20" i="15"/>
  <c r="K20" i="15"/>
  <c r="L20" i="15"/>
  <c r="M20" i="15"/>
  <c r="F20" i="15"/>
  <c r="E18" i="13"/>
  <c r="O5" i="15"/>
  <c r="O9" i="15" s="1"/>
  <c r="P5" i="15"/>
  <c r="P9" i="15" s="1"/>
  <c r="Q5" i="15"/>
  <c r="Q9" i="15" s="1"/>
  <c r="R5" i="15"/>
  <c r="R9" i="15" s="1"/>
  <c r="S5" i="15"/>
  <c r="S9" i="15" s="1"/>
  <c r="N5" i="15"/>
  <c r="N9" i="15" s="1"/>
  <c r="F6" i="13"/>
  <c r="F5" i="13"/>
  <c r="F4" i="13"/>
  <c r="F7" i="13"/>
  <c r="E12" i="13"/>
  <c r="E6" i="13"/>
  <c r="F8" i="13"/>
  <c r="R49" i="11"/>
  <c r="S49" i="11"/>
  <c r="T49" i="11"/>
  <c r="U49" i="11"/>
  <c r="V49" i="11"/>
  <c r="W49" i="11"/>
  <c r="X49" i="11"/>
  <c r="Y49" i="11"/>
  <c r="Z49" i="11"/>
  <c r="AA49" i="11"/>
  <c r="AB49" i="11"/>
  <c r="AC49" i="11"/>
  <c r="AD49" i="11"/>
  <c r="AE49" i="11"/>
  <c r="AF49" i="11"/>
  <c r="AG49" i="11"/>
  <c r="AH49" i="11"/>
  <c r="AI49" i="11"/>
  <c r="AJ49" i="11"/>
  <c r="AK49" i="11"/>
  <c r="AL49" i="11"/>
  <c r="AM49" i="11"/>
  <c r="R50" i="11"/>
  <c r="S50" i="11"/>
  <c r="T50" i="11"/>
  <c r="U50" i="11"/>
  <c r="V50" i="11"/>
  <c r="W50" i="11"/>
  <c r="X50" i="11"/>
  <c r="Y50" i="11"/>
  <c r="Z50" i="11"/>
  <c r="AA50" i="11"/>
  <c r="AB50" i="11"/>
  <c r="AC50" i="11"/>
  <c r="AD50" i="11"/>
  <c r="AE50" i="11"/>
  <c r="AF50" i="11"/>
  <c r="AG50" i="11"/>
  <c r="AH50" i="11"/>
  <c r="AI50" i="11"/>
  <c r="AJ50" i="11"/>
  <c r="AK50" i="11"/>
  <c r="AL50" i="11"/>
  <c r="AM50" i="11"/>
  <c r="Q50" i="11"/>
  <c r="Q49" i="11"/>
  <c r="E19" i="13"/>
  <c r="E17" i="13"/>
  <c r="E16" i="13"/>
  <c r="D17" i="13"/>
  <c r="B17" i="13"/>
  <c r="C17" i="13"/>
  <c r="C13" i="13"/>
  <c r="C12" i="13" s="1"/>
  <c r="C14" i="13" s="1"/>
  <c r="D13" i="13"/>
  <c r="D12" i="13" s="1"/>
  <c r="D14" i="13" s="1"/>
  <c r="B10" i="13"/>
  <c r="C10" i="13"/>
  <c r="D10" i="13"/>
  <c r="E10" i="13"/>
  <c r="F10" i="13" s="1"/>
  <c r="C9" i="13"/>
  <c r="D9" i="13"/>
  <c r="E9" i="13"/>
  <c r="B9" i="13"/>
  <c r="B14" i="13" s="1"/>
  <c r="B37" i="13"/>
  <c r="B34" i="13"/>
  <c r="E30" i="13"/>
  <c r="D34" i="13" s="1"/>
  <c r="F30" i="13"/>
  <c r="E31" i="13"/>
  <c r="D35" i="13" s="1"/>
  <c r="F31" i="13"/>
  <c r="F29" i="13"/>
  <c r="B30" i="13"/>
  <c r="B38" i="13" s="1"/>
  <c r="C30" i="13"/>
  <c r="C34" i="13" s="1"/>
  <c r="D30" i="13"/>
  <c r="B31" i="13"/>
  <c r="C31" i="13"/>
  <c r="C35" i="13" s="1"/>
  <c r="D31" i="13"/>
  <c r="C29" i="13"/>
  <c r="C33" i="13" s="1"/>
  <c r="D29" i="13"/>
  <c r="E29" i="13"/>
  <c r="D33" i="13" s="1"/>
  <c r="B29" i="13"/>
  <c r="I14" i="12"/>
  <c r="G14" i="12"/>
  <c r="C14" i="12"/>
  <c r="D5" i="12"/>
  <c r="F6" i="12" s="1"/>
  <c r="F5" i="12"/>
  <c r="C5" i="12" s="1"/>
  <c r="D6" i="12"/>
  <c r="D7" i="12" s="1"/>
  <c r="D4" i="12"/>
  <c r="F4" i="12"/>
  <c r="C4" i="12" s="1"/>
  <c r="G4" i="12"/>
  <c r="B2" i="5"/>
  <c r="C2" i="5"/>
  <c r="D2" i="5"/>
  <c r="E2" i="5"/>
  <c r="F2" i="5"/>
  <c r="G2" i="5"/>
  <c r="H2" i="5"/>
  <c r="I2" i="5"/>
  <c r="J2" i="5"/>
  <c r="I30" i="5"/>
  <c r="E30" i="5"/>
  <c r="F30" i="5"/>
  <c r="G30" i="5"/>
  <c r="H30" i="5"/>
  <c r="E31" i="5"/>
  <c r="F31" i="5"/>
  <c r="G31" i="5"/>
  <c r="H31" i="5"/>
  <c r="I31" i="5"/>
  <c r="J12" i="5"/>
  <c r="K12" i="5"/>
  <c r="J13" i="5"/>
  <c r="K13" i="5"/>
  <c r="J14" i="5"/>
  <c r="K14" i="5"/>
  <c r="J15" i="5"/>
  <c r="K15" i="5"/>
  <c r="J16" i="5"/>
  <c r="K16" i="5"/>
  <c r="C31" i="5"/>
  <c r="D31" i="5"/>
  <c r="B31" i="5"/>
  <c r="D30" i="5"/>
  <c r="C30" i="5"/>
  <c r="B30" i="5"/>
  <c r="C16" i="5"/>
  <c r="D16" i="5"/>
  <c r="E16" i="5"/>
  <c r="F16" i="5"/>
  <c r="G16" i="5"/>
  <c r="H16" i="5"/>
  <c r="I16" i="5"/>
  <c r="B16" i="5"/>
  <c r="C12" i="5"/>
  <c r="D12" i="5"/>
  <c r="E12" i="5"/>
  <c r="F12" i="5"/>
  <c r="G12" i="5"/>
  <c r="H12" i="5"/>
  <c r="I12" i="5"/>
  <c r="C13" i="5"/>
  <c r="D13" i="5"/>
  <c r="E13" i="5"/>
  <c r="F13" i="5"/>
  <c r="G13" i="5"/>
  <c r="H13" i="5"/>
  <c r="I13" i="5"/>
  <c r="C14" i="5"/>
  <c r="D14" i="5"/>
  <c r="E14" i="5"/>
  <c r="F14" i="5"/>
  <c r="G14" i="5"/>
  <c r="H14" i="5"/>
  <c r="I14" i="5"/>
  <c r="C15" i="5"/>
  <c r="D15" i="5"/>
  <c r="E15" i="5"/>
  <c r="F15" i="5"/>
  <c r="G15" i="5"/>
  <c r="H15" i="5"/>
  <c r="I15" i="5"/>
  <c r="B13" i="5"/>
  <c r="B14" i="5"/>
  <c r="B15" i="5"/>
  <c r="B12" i="5"/>
  <c r="C12" i="19"/>
  <c r="C13" i="19"/>
  <c r="C11" i="19"/>
  <c r="C14" i="19"/>
  <c r="C15" i="17"/>
  <c r="C18" i="17"/>
  <c r="C16" i="17"/>
  <c r="C17" i="17"/>
  <c r="C19" i="17"/>
  <c r="K21" i="15" l="1"/>
  <c r="E21" i="15"/>
  <c r="L21" i="15"/>
  <c r="D21" i="15"/>
  <c r="I21" i="15"/>
  <c r="N12" i="15"/>
  <c r="H21" i="15"/>
  <c r="J21" i="15"/>
  <c r="F21" i="15"/>
  <c r="G21" i="15"/>
  <c r="N21" i="15"/>
  <c r="M21" i="15"/>
  <c r="E12" i="15"/>
  <c r="E11" i="15" s="1"/>
  <c r="M12" i="15"/>
  <c r="M11" i="15" s="1"/>
  <c r="K12" i="15"/>
  <c r="K11" i="15" s="1"/>
  <c r="I12" i="15"/>
  <c r="I11" i="15" s="1"/>
  <c r="L12" i="15"/>
  <c r="L11" i="15" s="1"/>
  <c r="J12" i="15"/>
  <c r="J11" i="15" s="1"/>
  <c r="F12" i="15"/>
  <c r="F11" i="15" s="1"/>
  <c r="G12" i="15"/>
  <c r="G11" i="15" s="1"/>
  <c r="D11" i="15"/>
  <c r="H12" i="15"/>
  <c r="H11" i="15" s="1"/>
  <c r="F13" i="13"/>
  <c r="F12" i="13"/>
  <c r="F9" i="13"/>
  <c r="B39" i="13"/>
  <c r="B35" i="13"/>
  <c r="C39" i="13"/>
  <c r="C38" i="13"/>
  <c r="C37" i="13"/>
  <c r="C42" i="13" s="1"/>
  <c r="B42" i="13" s="1"/>
  <c r="B33" i="13"/>
  <c r="G33" i="13" s="1"/>
  <c r="G34" i="13"/>
  <c r="H30" i="13"/>
  <c r="H31" i="13"/>
  <c r="G35" i="13"/>
  <c r="D8" i="12"/>
  <c r="F8" i="12"/>
  <c r="C6" i="12"/>
  <c r="G6" i="12"/>
  <c r="F7" i="12"/>
  <c r="G5" i="12"/>
  <c r="E14" i="19"/>
  <c r="D14" i="19"/>
  <c r="D11" i="19"/>
  <c r="E11" i="19"/>
  <c r="D13" i="19"/>
  <c r="E13" i="19"/>
  <c r="E12" i="19"/>
  <c r="D12" i="19"/>
  <c r="D19" i="17"/>
  <c r="E19" i="17"/>
  <c r="E17" i="17"/>
  <c r="D17" i="17"/>
  <c r="D16" i="17"/>
  <c r="E16" i="17"/>
  <c r="D18" i="17"/>
  <c r="E18" i="17"/>
  <c r="E15" i="17"/>
  <c r="D15" i="17"/>
  <c r="N11" i="15" l="1"/>
  <c r="P20" i="15" s="1"/>
  <c r="P21" i="15" s="1"/>
  <c r="C7" i="12"/>
  <c r="G7" i="12"/>
  <c r="C8" i="12"/>
  <c r="G8" i="12"/>
  <c r="D9" i="12"/>
  <c r="F9" i="12"/>
  <c r="P8" i="15" l="1"/>
  <c r="Q21" i="15"/>
  <c r="C9" i="12"/>
  <c r="G9" i="12"/>
  <c r="D10" i="12"/>
  <c r="F10" i="12"/>
  <c r="D11" i="12" l="1"/>
  <c r="F11" i="12"/>
  <c r="C10" i="12"/>
  <c r="G10" i="12"/>
  <c r="C11" i="12" l="1"/>
  <c r="G11" i="12"/>
  <c r="D12" i="12"/>
  <c r="F12" i="12"/>
  <c r="C12" i="12" l="1"/>
  <c r="G12" i="12"/>
  <c r="D13" i="12"/>
  <c r="F13" i="12"/>
  <c r="C13" i="12" l="1"/>
  <c r="G13" i="1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w x</author>
  </authors>
  <commentList>
    <comment ref="B2" authorId="0" shapeId="0" xr:uid="{BCD08340-4924-4F41-8FFA-6DDA0FED5593}">
      <text>
        <r>
          <rPr>
            <b/>
            <sz val="9"/>
            <color indexed="81"/>
            <rFont val="Tahoma"/>
            <family val="2"/>
          </rPr>
          <t>w x:</t>
        </r>
        <r>
          <rPr>
            <sz val="9"/>
            <color indexed="81"/>
            <rFont val="Tahoma"/>
            <family val="2"/>
          </rPr>
          <t xml:space="preserve">
Tariff hike of 15% in 2015 and 2019 only causes revenue per box increase by approximately 7.5%</t>
        </r>
      </text>
    </comment>
    <comment ref="A6" authorId="0" shapeId="0" xr:uid="{1B23FB4E-25AE-4EEF-81D1-E615D4A7E3B5}">
      <text>
        <r>
          <rPr>
            <b/>
            <sz val="9"/>
            <color indexed="81"/>
            <rFont val="Tahoma"/>
            <family val="2"/>
          </rPr>
          <t>w x:</t>
        </r>
        <r>
          <rPr>
            <sz val="9"/>
            <color indexed="81"/>
            <rFont val="Tahoma"/>
            <family val="2"/>
          </rPr>
          <t xml:space="preserve">
consider years after tariff hike and ignore perfomance during COVID-19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w x</author>
  </authors>
  <commentList>
    <comment ref="E11" authorId="0" shapeId="0" xr:uid="{8CA5F7CD-D293-4C07-AAAD-E289444EB79F}">
      <text>
        <r>
          <rPr>
            <b/>
            <sz val="9"/>
            <color indexed="81"/>
            <rFont val="Tahoma"/>
            <family val="2"/>
          </rPr>
          <t>w x:</t>
        </r>
        <r>
          <rPr>
            <sz val="9"/>
            <color indexed="81"/>
            <rFont val="Tahoma"/>
            <family val="2"/>
          </rPr>
          <t xml:space="preserve">
took from Q1 as congestion easing
</t>
        </r>
      </text>
    </comment>
  </commentList>
</comments>
</file>

<file path=xl/sharedStrings.xml><?xml version="1.0" encoding="utf-8"?>
<sst xmlns="http://schemas.openxmlformats.org/spreadsheetml/2006/main" count="701" uniqueCount="266">
  <si>
    <t>Container Terminal Capacity Utilisation</t>
  </si>
  <si>
    <t>RORO ('000 units)</t>
  </si>
  <si>
    <t>Container handling capacity (million TEUs)</t>
  </si>
  <si>
    <t>Transhipment Containers (million TEUs)</t>
  </si>
  <si>
    <t>Gateway Containers (million TEUs)</t>
  </si>
  <si>
    <t>Total Container Throughput (million TEUs)</t>
  </si>
  <si>
    <t>Revenue</t>
  </si>
  <si>
    <t xml:space="preserve">    + Sales &amp; Services Revenue</t>
  </si>
  <si>
    <t xml:space="preserve">    + Other Revenue</t>
  </si>
  <si>
    <t xml:space="preserve">  - Cost of Revenue</t>
  </si>
  <si>
    <t>Gross Profit</t>
  </si>
  <si>
    <t xml:space="preserve">  + Other Operating Income</t>
  </si>
  <si>
    <t xml:space="preserve">  - Operating Expenses</t>
  </si>
  <si>
    <t xml:space="preserve">    + Selling, General &amp; Admin</t>
  </si>
  <si>
    <t xml:space="preserve">    + General &amp; Administrative</t>
  </si>
  <si>
    <t xml:space="preserve">    + Research &amp; Development</t>
  </si>
  <si>
    <t xml:space="preserve">    + Prov For Doubtful Accts</t>
  </si>
  <si>
    <t xml:space="preserve">    + Other Operating Expense</t>
  </si>
  <si>
    <t>Operating Income (Loss)</t>
  </si>
  <si>
    <t xml:space="preserve">  - Non-Operating (Income) Loss</t>
  </si>
  <si>
    <t xml:space="preserve">    + Interest Expense, Net</t>
  </si>
  <si>
    <t xml:space="preserve">    + Interest Expense</t>
  </si>
  <si>
    <t xml:space="preserve">    - Interest Income</t>
  </si>
  <si>
    <t xml:space="preserve">    + Foreign Exch (Gain) Loss</t>
  </si>
  <si>
    <t xml:space="preserve">    + (Income) Loss from Affiliates</t>
  </si>
  <si>
    <t xml:space="preserve">    + Other Non-Op (Income) Loss</t>
  </si>
  <si>
    <t>Pretax Income (Loss), Adjusted</t>
  </si>
  <si>
    <t xml:space="preserve">  - Abnormal Losses (Gains)</t>
  </si>
  <si>
    <t xml:space="preserve">    + Disposal of Assets</t>
  </si>
  <si>
    <t xml:space="preserve">    + Asset Write-Down</t>
  </si>
  <si>
    <t>Pretax Income (Loss), GAAP</t>
  </si>
  <si>
    <t xml:space="preserve">  - Income Tax Expense (Benefit)</t>
  </si>
  <si>
    <t xml:space="preserve">    + Current Income Tax</t>
  </si>
  <si>
    <t xml:space="preserve">    + Deferred Income Tax</t>
  </si>
  <si>
    <t>Income (Loss) from Cont Ops</t>
  </si>
  <si>
    <t xml:space="preserve">  - Net Extraordinary Losses (Gains)</t>
  </si>
  <si>
    <t xml:space="preserve">    + Discontinued Operations</t>
  </si>
  <si>
    <t xml:space="preserve">    + XO &amp; Accounting Changes</t>
  </si>
  <si>
    <t>Income (Loss) Incl. MI</t>
  </si>
  <si>
    <t xml:space="preserve">  - Minority Interest</t>
  </si>
  <si>
    <t>Net Income, GAAP</t>
  </si>
  <si>
    <t xml:space="preserve">  - Preferred Dividends</t>
  </si>
  <si>
    <t xml:space="preserve">  - Other Adjustments</t>
  </si>
  <si>
    <t>Net Income Avail to Common, GAAP</t>
  </si>
  <si>
    <t>Q1 2020</t>
  </si>
  <si>
    <t>—</t>
  </si>
  <si>
    <t>Q2 2020</t>
  </si>
  <si>
    <t>Q3 2020</t>
  </si>
  <si>
    <t>Q4 2020</t>
  </si>
  <si>
    <t>Q1 2021</t>
  </si>
  <si>
    <t>Q2 2021</t>
  </si>
  <si>
    <t>Q3 2021</t>
  </si>
  <si>
    <t>Q4 2021</t>
  </si>
  <si>
    <t>Q1 2022</t>
  </si>
  <si>
    <t>Q2 2022</t>
  </si>
  <si>
    <t>Q3 2022</t>
  </si>
  <si>
    <t>Q4 2022</t>
  </si>
  <si>
    <t>Q1 2023</t>
  </si>
  <si>
    <t>Q2 2023</t>
  </si>
  <si>
    <t>Q3 2023</t>
  </si>
  <si>
    <t>Q4 2023</t>
  </si>
  <si>
    <t>Q1 2024</t>
  </si>
  <si>
    <t>Q2 2024</t>
  </si>
  <si>
    <t>Total Revenue</t>
  </si>
  <si>
    <t>Total Revenue (millions)</t>
  </si>
  <si>
    <t>RM million</t>
  </si>
  <si>
    <t>Container</t>
  </si>
  <si>
    <t>Conventional</t>
  </si>
  <si>
    <t>Marine</t>
  </si>
  <si>
    <t>Rental</t>
  </si>
  <si>
    <t>Operational Revenue</t>
  </si>
  <si>
    <t>Construction</t>
  </si>
  <si>
    <t>Container Revenue (millions)</t>
  </si>
  <si>
    <t>Container yield  (MYR/TEU)</t>
  </si>
  <si>
    <t>Fuel</t>
  </si>
  <si>
    <t>Electricity</t>
  </si>
  <si>
    <t>Manpower</t>
  </si>
  <si>
    <t>Depreciation</t>
  </si>
  <si>
    <t>Operational Cost Of Sales</t>
  </si>
  <si>
    <t>Total Cost Of Sales</t>
  </si>
  <si>
    <t>Asset</t>
  </si>
  <si>
    <t>Year</t>
  </si>
  <si>
    <t>Concession Asset</t>
  </si>
  <si>
    <t>Cash</t>
  </si>
  <si>
    <t>Liability</t>
  </si>
  <si>
    <t>Equity</t>
  </si>
  <si>
    <t>Outstanding amount</t>
  </si>
  <si>
    <t>Principal repayment</t>
  </si>
  <si>
    <t>interest</t>
  </si>
  <si>
    <t>In Millions of MYR except Per Share</t>
  </si>
  <si>
    <t>Q2 2015</t>
  </si>
  <si>
    <t>Q3 2015</t>
  </si>
  <si>
    <t>Q4 2015</t>
  </si>
  <si>
    <t>Q1 2016</t>
  </si>
  <si>
    <t>Q2 2016</t>
  </si>
  <si>
    <t>Q3 2016</t>
  </si>
  <si>
    <t>Q4 2016</t>
  </si>
  <si>
    <t>Q1 2017</t>
  </si>
  <si>
    <t>Q2 2017</t>
  </si>
  <si>
    <t>Q3 2017</t>
  </si>
  <si>
    <t>Q4 2017</t>
  </si>
  <si>
    <t>Q1 2018</t>
  </si>
  <si>
    <t>Q2 2018</t>
  </si>
  <si>
    <t>Q3 2018</t>
  </si>
  <si>
    <t>Q4 2018</t>
  </si>
  <si>
    <t>Q1 2019</t>
  </si>
  <si>
    <t>Q2 2019</t>
  </si>
  <si>
    <t>Q3 2019</t>
  </si>
  <si>
    <t>Q4 2019</t>
  </si>
  <si>
    <t>Q3 2024</t>
  </si>
  <si>
    <t>3 Months Ending</t>
  </si>
  <si>
    <t>06/30/2015</t>
  </si>
  <si>
    <t>09/30/2015</t>
  </si>
  <si>
    <t>12/31/2015</t>
  </si>
  <si>
    <t>03/31/2016</t>
  </si>
  <si>
    <t>06/30/2016</t>
  </si>
  <si>
    <t>09/30/2016</t>
  </si>
  <si>
    <t>12/31/2016</t>
  </si>
  <si>
    <t>03/31/2017</t>
  </si>
  <si>
    <t>06/30/2017</t>
  </si>
  <si>
    <t>09/30/2017</t>
  </si>
  <si>
    <t>12/31/2017</t>
  </si>
  <si>
    <t>03/31/2018</t>
  </si>
  <si>
    <t>06/30/2018</t>
  </si>
  <si>
    <t>09/30/2018</t>
  </si>
  <si>
    <t>12/31/2018</t>
  </si>
  <si>
    <t>03/31/2019</t>
  </si>
  <si>
    <t>06/30/2019</t>
  </si>
  <si>
    <t>09/30/2019</t>
  </si>
  <si>
    <t>12/31/2019</t>
  </si>
  <si>
    <t>03/31/2020</t>
  </si>
  <si>
    <t>06/30/2020</t>
  </si>
  <si>
    <t>09/30/2020</t>
  </si>
  <si>
    <t>12/31/2020</t>
  </si>
  <si>
    <t>03/31/2021</t>
  </si>
  <si>
    <t>06/30/2021</t>
  </si>
  <si>
    <t>09/30/2021</t>
  </si>
  <si>
    <t>12/31/2021</t>
  </si>
  <si>
    <t>03/31/2022</t>
  </si>
  <si>
    <t>06/30/2022</t>
  </si>
  <si>
    <t>09/30/2022</t>
  </si>
  <si>
    <t>12/31/2022</t>
  </si>
  <si>
    <t>03/31/2023</t>
  </si>
  <si>
    <t>06/30/2023</t>
  </si>
  <si>
    <t>09/30/2023</t>
  </si>
  <si>
    <t>12/31/2023</t>
  </si>
  <si>
    <t>03/31/2024</t>
  </si>
  <si>
    <t>06/30/2024</t>
  </si>
  <si>
    <t>09/30/2024</t>
  </si>
  <si>
    <t xml:space="preserve">    + Cost of Goods &amp; Services</t>
  </si>
  <si>
    <t xml:space="preserve">    + Other Investment (Inc) Loss</t>
  </si>
  <si>
    <t xml:space="preserve">    + Sale of Investments</t>
  </si>
  <si>
    <t>Transhipment</t>
  </si>
  <si>
    <t>Gateway</t>
  </si>
  <si>
    <t>Transhipment (mil TEU)</t>
  </si>
  <si>
    <t>Gateway (mil TEU)</t>
  </si>
  <si>
    <t>Conventional Revenue</t>
  </si>
  <si>
    <t>Conventional Revenue (millions)</t>
  </si>
  <si>
    <t>Conventional (m MT)</t>
  </si>
  <si>
    <t>Container (mil TEU)</t>
  </si>
  <si>
    <t>Q4 2024</t>
  </si>
  <si>
    <t>31/12/2024</t>
  </si>
  <si>
    <t>QY</t>
  </si>
  <si>
    <t>Transshipment</t>
  </si>
  <si>
    <t>proportion</t>
  </si>
  <si>
    <t>Containery Yield</t>
  </si>
  <si>
    <t>Q1</t>
  </si>
  <si>
    <t>Q2</t>
  </si>
  <si>
    <t>Q3</t>
  </si>
  <si>
    <t>Proportion</t>
  </si>
  <si>
    <t xml:space="preserve">Gateway </t>
  </si>
  <si>
    <t>container yield</t>
  </si>
  <si>
    <t>Transhipment revenue per box</t>
  </si>
  <si>
    <t>Gateway revenue per box</t>
  </si>
  <si>
    <t>Estimated container revenue</t>
  </si>
  <si>
    <t>Actual container revenue</t>
  </si>
  <si>
    <t>Conventional revenue per MT</t>
  </si>
  <si>
    <t>Conventional revenue</t>
  </si>
  <si>
    <t>Contruction</t>
  </si>
  <si>
    <t>Conventional (million tonnes)</t>
  </si>
  <si>
    <t>Timeline</t>
  </si>
  <si>
    <t>Values</t>
  </si>
  <si>
    <t>Forecast</t>
  </si>
  <si>
    <t>Lower Confidence Bound</t>
  </si>
  <si>
    <t>Upper Confidence Bound</t>
  </si>
  <si>
    <t>from exponential smoothing ignoring data during COVID-19</t>
  </si>
  <si>
    <t>Gateway Ratio</t>
  </si>
  <si>
    <t>exponential smoothing to forecast Q4 2024 based on Q1,2,3 2024 and sum up</t>
  </si>
  <si>
    <t>Exponential Smoothing</t>
  </si>
  <si>
    <t>Charge per TEU</t>
  </si>
  <si>
    <t>Weight (1-8)</t>
  </si>
  <si>
    <t>Weight (9-12)</t>
  </si>
  <si>
    <t>Forecasted values</t>
  </si>
  <si>
    <t>Unknown</t>
  </si>
  <si>
    <t>Notes</t>
  </si>
  <si>
    <t>Forecasted values using different methods</t>
  </si>
  <si>
    <t>Final Values</t>
  </si>
  <si>
    <t>Transhipment Proportion to Gateway</t>
  </si>
  <si>
    <t>Assumptions</t>
  </si>
  <si>
    <t>Transhipment revenue per container</t>
  </si>
  <si>
    <t>Gateway revenue per container</t>
  </si>
  <si>
    <t>Convetional Revenue (millions)</t>
  </si>
  <si>
    <t>Marine Revenue (millions)</t>
  </si>
  <si>
    <t>Rental Revenue (millions)</t>
  </si>
  <si>
    <t>Construction Revenue (millions)</t>
  </si>
  <si>
    <t>Operational Revenue (millions)</t>
  </si>
  <si>
    <t>Growth Rate</t>
  </si>
  <si>
    <t>Average revenue per container (MYR/TEU)</t>
  </si>
  <si>
    <t>The average transhipment and gateway revenue per box is calculated as follows:</t>
  </si>
  <si>
    <t>2012A</t>
  </si>
  <si>
    <t>2013A</t>
  </si>
  <si>
    <t>2014A</t>
  </si>
  <si>
    <t>2015A</t>
  </si>
  <si>
    <t>2016A</t>
  </si>
  <si>
    <t>2017A</t>
  </si>
  <si>
    <t>2018A</t>
  </si>
  <si>
    <t>2019A</t>
  </si>
  <si>
    <t>2020A</t>
  </si>
  <si>
    <t>2021A</t>
  </si>
  <si>
    <t>2022A</t>
  </si>
  <si>
    <t>2023A</t>
  </si>
  <si>
    <t>2024E</t>
  </si>
  <si>
    <t>2025E</t>
  </si>
  <si>
    <t>2026E</t>
  </si>
  <si>
    <t>2027E</t>
  </si>
  <si>
    <t>2028E</t>
  </si>
  <si>
    <t>2029E</t>
  </si>
  <si>
    <t>CAGR</t>
  </si>
  <si>
    <t>Weights</t>
  </si>
  <si>
    <t>Gateway Volume</t>
  </si>
  <si>
    <t>Transhipment Volume</t>
  </si>
  <si>
    <t>Conventional Volume</t>
  </si>
  <si>
    <t>Proportion of Transhipment to Gateway</t>
  </si>
  <si>
    <t>2022/23/24 Average</t>
  </si>
  <si>
    <t>After Tariff Hike</t>
  </si>
  <si>
    <t>Weighted Average</t>
  </si>
  <si>
    <t>Charge per container for 2025</t>
  </si>
  <si>
    <t>The estimated increase in revenue per container after tariff hike is 7.5%</t>
  </si>
  <si>
    <t>Transshipment revenue per container is assumed to be 61% of gateway revenue per container</t>
  </si>
  <si>
    <t>The Marine and Rental revenue forecasts will be generated using the exponential smoothing method.</t>
  </si>
  <si>
    <t>For 2024, the Q4 data will be predicted using Q1, Q2, and Q3 data through exponential smoothing. This Q4 estimate will then be combined with the first three quarters to derive the full-year data, which will serve as the basis for forecasting the subsequent five years.</t>
  </si>
  <si>
    <t>For 2024, the average revenue per container is 177, let x is the average transhipment revenue per container and y is gateway revenue per container</t>
  </si>
  <si>
    <t>Time Series - ARIMA(0,1,1)</t>
  </si>
  <si>
    <t>Time Series - ARIMA(1,1,0)</t>
  </si>
  <si>
    <t>Time Series - ARIMA(2,1,0) with drift</t>
  </si>
  <si>
    <t>Bull (Using upper 80% confidence level)</t>
  </si>
  <si>
    <t>Methods</t>
  </si>
  <si>
    <t>Bear (using lower 80% confidence level)</t>
  </si>
  <si>
    <t>Linear regression (based on GDP growth rate, FDI inflows and Container Handling Capacity)</t>
  </si>
  <si>
    <t>Steps</t>
  </si>
  <si>
    <t>Transshipment and gateway revenue per containe prior to the tariff hike will be assumed as the average of the preceding three years (2022, 2023, 2024) and after the tariff hike will be assumed as the average of the recent three years (2022, 2023, 2024) times 1.075.</t>
  </si>
  <si>
    <t>3. Forecast gateway volume using three methods such as time series model ARIMA(2,1,1), linear regresion model (based on FDI inflow, GDP growth rate and container handling capacity) and exponential smoothing method. Then, weightings are given to each method to obtain the final value.</t>
  </si>
  <si>
    <t>4. Forecast transhipment volume using two methods such as time series model ARIMA(1,1,0) and exponential smoothing method. Then, weightings are given to each method to obtain the final value.</t>
  </si>
  <si>
    <t>5. Forecast conventional volume using two methods such as time series model ARIMA(0,1,1) and exponential smoothing method. Then, weightings are given to each method to obtain the final value.</t>
  </si>
  <si>
    <t>6. Approximate the average transhipment and gateway revenue per container over the years.</t>
  </si>
  <si>
    <t>11. Approximate the container and conventional revenue by multiplying each forecasted volume by the approximated revenue per unit respectively for the next 5 years.</t>
  </si>
  <si>
    <t>12. Sum container, conventional, marine and rental revenue to obtain operational revenue for the next 5 years.</t>
  </si>
  <si>
    <t>2. Forecast marine and rental revenue by exponential smoothing method.</t>
  </si>
  <si>
    <t>Conventional revenue per metric tons (MT) for the next five years will also be assumed to equal the average of the last three years (2022, 2023, 2024) as we assumed only container tariff will be revised.</t>
  </si>
  <si>
    <t>7. Approximate the average conventional revenue per metric tons (MT) over the years.</t>
  </si>
  <si>
    <t>Conventional (million metric tons (MT)nes)</t>
  </si>
  <si>
    <t>Conventional revenue per metric tons (MT)</t>
  </si>
  <si>
    <t>1. Forecast Q4 2024 using Q1, Q2 and Q3 data by exponential smoothing method. This Q4 estimate will then be combined with the first three quarters to derive the full-year data, which will serve as the basis for forecasting the subsequent five years.</t>
  </si>
  <si>
    <t>10. Approximate the conventional revenue per container for the next 5 years by taking the average of recent three years (2022, 2023, 2024).</t>
  </si>
  <si>
    <t>8. Approximate the transhipment and gateway revenue per container prior to tariff hike (assumed to be implement on 1 September 2025) by taking the average of recent three years (2022, 2023, 2024).</t>
  </si>
  <si>
    <t>9. Approximate the transhipment and gateway revenue per container after tariff hike (assumed to be implement on 1 September 2025) by taking the average of recent three years (2022, 2023, 2024) and multiply by 1.075.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</si>
</sst>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3" formatCode="_(* #,##0.00_);_(* \(#,##0.00\);_(* &quot;-&quot;??_);_(@_)"/>
    <numFmt numFmtId="164" formatCode="#,##0.0"/>
    <numFmt numFmtId="165" formatCode="0.000"/>
    <numFmt numFmtId="166" formatCode="0.0%"/>
    <numFmt numFmtId="167" formatCode="_(* #,##0_);_(* \(#,##0\);_(* &quot;-&quot;??_);_(@_)"/>
    <numFmt numFmtId="176" formatCode="0.000000"/>
  </numFmts>
  <fonts count="13" x14ac:knownFonts="1">
    <font>
      <sz val="11"/>
      <color theme="1"/>
      <name val="Aptos Narrow"/>
      <family val="2"/>
      <scheme val="minor"/>
    </font>
    <font>
      <b/>
      <sz val="11"/>
      <color theme="1"/>
      <name val="Aptos Narrow"/>
      <family val="2"/>
      <scheme val="minor"/>
    </font>
    <font>
      <sz val="11"/>
      <color theme="1"/>
      <name val="Aptos Narrow"/>
      <family val="2"/>
      <scheme val="minor"/>
    </font>
    <font>
      <b/>
      <sz val="10"/>
      <color indexed="9"/>
      <name val="Arial"/>
      <family val="2"/>
    </font>
    <font>
      <b/>
      <sz val="10"/>
      <color indexed="8"/>
      <name val="Arial"/>
      <family val="2"/>
    </font>
    <font>
      <sz val="10"/>
      <color indexed="63"/>
      <name val="Arial"/>
      <family val="2"/>
    </font>
    <font>
      <sz val="10"/>
      <color indexed="8"/>
      <name val="Arial"/>
      <family val="2"/>
    </font>
    <font>
      <i/>
      <sz val="10"/>
      <color indexed="63"/>
      <name val="Arial"/>
      <family val="2"/>
    </font>
    <font>
      <i/>
      <sz val="10"/>
      <color indexed="8"/>
      <name val="Arial"/>
      <family val="2"/>
    </font>
    <font>
      <sz val="9"/>
      <color indexed="81"/>
      <name val="Tahoma"/>
      <family val="2"/>
    </font>
    <font>
      <b/>
      <sz val="9"/>
      <color indexed="81"/>
      <name val="Tahoma"/>
      <family val="2"/>
    </font>
    <font>
      <sz val="11"/>
      <color theme="0"/>
      <name val="Aptos Narrow"/>
      <family val="2"/>
      <scheme val="minor"/>
    </font>
    <font>
      <b/>
      <u/>
      <sz val="11"/>
      <color theme="1"/>
      <name val="Aptos Narrow"/>
      <family val="2"/>
      <scheme val="minor"/>
    </font>
  </fonts>
  <fills count="12">
    <fill>
      <patternFill patternType="none"/>
    </fill>
    <fill>
      <patternFill patternType="gray125"/>
    </fill>
    <fill>
      <patternFill patternType="solid">
        <fgColor rgb="FFFFFF00"/>
        <bgColor indexed="64"/>
      </patternFill>
    </fill>
    <fill>
      <patternFill patternType="solid">
        <fgColor rgb="FF4F81BD"/>
        <bgColor indexed="64"/>
      </patternFill>
    </fill>
    <fill>
      <patternFill patternType="solid">
        <fgColor rgb="FFFFFFFF"/>
        <bgColor indexed="64"/>
      </patternFill>
    </fill>
    <fill>
      <patternFill patternType="solid">
        <fgColor theme="5" tint="0.79998168889431442"/>
        <bgColor indexed="64"/>
      </patternFill>
    </fill>
    <fill>
      <patternFill patternType="solid">
        <fgColor theme="9" tint="0.79998168889431442"/>
        <bgColor indexed="64"/>
      </patternFill>
    </fill>
    <fill>
      <patternFill patternType="solid">
        <fgColor theme="2" tint="-0.749992370372631"/>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2"/>
        <bgColor indexed="64"/>
      </patternFill>
    </fill>
    <fill>
      <patternFill patternType="solid">
        <fgColor theme="7" tint="0.79998168889431442"/>
        <bgColor theme="4" tint="0.79998168889431442"/>
      </patternFill>
    </fill>
  </fills>
  <borders count="18">
    <border>
      <left/>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bottom style="thin">
        <color indexed="64"/>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style="thin">
        <color indexed="64"/>
      </left>
      <right/>
      <top style="thin">
        <color indexed="64"/>
      </top>
      <bottom/>
      <diagonal/>
    </border>
    <border>
      <left/>
      <right style="thin">
        <color indexed="64"/>
      </right>
      <top style="thin">
        <color indexed="64"/>
      </top>
      <bottom/>
      <diagonal/>
    </border>
    <border>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s>
  <cellStyleXfs count="13">
    <xf numFmtId="0" fontId="0" fillId="0" borderId="0"/>
    <xf numFmtId="9" fontId="2" fillId="0" borderId="0" applyFont="0" applyFill="0" applyBorder="0" applyAlignment="0" applyProtection="0"/>
    <xf numFmtId="43" fontId="2" fillId="0" borderId="0" applyFont="0" applyFill="0" applyBorder="0" applyAlignment="0" applyProtection="0"/>
    <xf numFmtId="0" fontId="3" fillId="3" borderId="1">
      <alignment horizontal="left"/>
    </xf>
    <xf numFmtId="0" fontId="3" fillId="3" borderId="1">
      <alignment horizontal="right"/>
    </xf>
    <xf numFmtId="0" fontId="3" fillId="3" borderId="2">
      <alignment horizontal="left"/>
    </xf>
    <xf numFmtId="0" fontId="3" fillId="3" borderId="2">
      <alignment horizontal="right"/>
    </xf>
    <xf numFmtId="0" fontId="4" fillId="4" borderId="3"/>
    <xf numFmtId="164" fontId="4" fillId="4" borderId="4">
      <alignment horizontal="right"/>
    </xf>
    <xf numFmtId="0" fontId="5" fillId="4" borderId="3"/>
    <xf numFmtId="164" fontId="6" fillId="4" borderId="4">
      <alignment horizontal="right"/>
    </xf>
    <xf numFmtId="0" fontId="7" fillId="4" borderId="3"/>
    <xf numFmtId="164" fontId="8" fillId="4" borderId="4">
      <alignment horizontal="right"/>
    </xf>
  </cellStyleXfs>
  <cellXfs count="107">
    <xf numFmtId="0" fontId="0" fillId="0" borderId="0" xfId="0"/>
    <xf numFmtId="0" fontId="1" fillId="0" borderId="0" xfId="0" applyFont="1"/>
    <xf numFmtId="3" fontId="0" fillId="0" borderId="0" xfId="0" applyNumberFormat="1"/>
    <xf numFmtId="9" fontId="0" fillId="0" borderId="0" xfId="0" applyNumberFormat="1"/>
    <xf numFmtId="164" fontId="0" fillId="0" borderId="0" xfId="0" applyNumberFormat="1"/>
    <xf numFmtId="9" fontId="0" fillId="0" borderId="0" xfId="1" applyFont="1"/>
    <xf numFmtId="165" fontId="0" fillId="0" borderId="0" xfId="0" applyNumberFormat="1"/>
    <xf numFmtId="0" fontId="0" fillId="0" borderId="0" xfId="0" applyAlignment="1">
      <alignment horizontal="right"/>
    </xf>
    <xf numFmtId="2" fontId="0" fillId="0" borderId="0" xfId="0" applyNumberFormat="1"/>
    <xf numFmtId="10" fontId="0" fillId="0" borderId="0" xfId="1" applyNumberFormat="1" applyFont="1"/>
    <xf numFmtId="9" fontId="0" fillId="2" borderId="0" xfId="1" applyFont="1" applyFill="1"/>
    <xf numFmtId="0" fontId="3" fillId="3" borderId="1" xfId="3">
      <alignment horizontal="left"/>
    </xf>
    <xf numFmtId="0" fontId="3" fillId="3" borderId="1" xfId="4">
      <alignment horizontal="right"/>
    </xf>
    <xf numFmtId="0" fontId="3" fillId="3" borderId="2" xfId="5">
      <alignment horizontal="left"/>
    </xf>
    <xf numFmtId="0" fontId="3" fillId="3" borderId="2" xfId="6">
      <alignment horizontal="right"/>
    </xf>
    <xf numFmtId="0" fontId="4" fillId="4" borderId="3" xfId="7"/>
    <xf numFmtId="164" fontId="4" fillId="4" borderId="4" xfId="8">
      <alignment horizontal="right"/>
    </xf>
    <xf numFmtId="0" fontId="5" fillId="4" borderId="3" xfId="9"/>
    <xf numFmtId="164" fontId="6" fillId="4" borderId="4" xfId="10">
      <alignment horizontal="right"/>
    </xf>
    <xf numFmtId="0" fontId="7" fillId="4" borderId="3" xfId="11"/>
    <xf numFmtId="164" fontId="8" fillId="4" borderId="4" xfId="12">
      <alignment horizontal="right"/>
    </xf>
    <xf numFmtId="2" fontId="6" fillId="4" borderId="4" xfId="10" applyNumberFormat="1">
      <alignment horizontal="right"/>
    </xf>
    <xf numFmtId="0" fontId="3" fillId="3" borderId="4" xfId="4" applyBorder="1">
      <alignment horizontal="right"/>
    </xf>
    <xf numFmtId="0" fontId="3" fillId="3" borderId="4" xfId="6" applyBorder="1">
      <alignment horizontal="right"/>
    </xf>
    <xf numFmtId="43" fontId="0" fillId="0" borderId="0" xfId="2" applyFont="1"/>
    <xf numFmtId="43" fontId="0" fillId="0" borderId="0" xfId="0" applyNumberFormat="1"/>
    <xf numFmtId="166" fontId="0" fillId="0" borderId="0" xfId="1" applyNumberFormat="1" applyFont="1"/>
    <xf numFmtId="43" fontId="6" fillId="4" borderId="4" xfId="2" applyFont="1" applyFill="1" applyBorder="1" applyAlignment="1">
      <alignment horizontal="right"/>
    </xf>
    <xf numFmtId="167" fontId="0" fillId="0" borderId="0" xfId="2" applyNumberFormat="1" applyFont="1"/>
    <xf numFmtId="43" fontId="0" fillId="5" borderId="0" xfId="2" applyFont="1" applyFill="1"/>
    <xf numFmtId="0" fontId="5" fillId="5" borderId="3" xfId="9" applyFill="1"/>
    <xf numFmtId="167" fontId="0" fillId="0" borderId="0" xfId="0" applyNumberFormat="1"/>
    <xf numFmtId="167" fontId="0" fillId="5" borderId="0" xfId="0" applyNumberFormat="1" applyFill="1"/>
    <xf numFmtId="0" fontId="5" fillId="4" borderId="5" xfId="9" applyBorder="1"/>
    <xf numFmtId="167" fontId="0" fillId="0" borderId="6" xfId="0" applyNumberFormat="1" applyBorder="1"/>
    <xf numFmtId="43" fontId="0" fillId="5" borderId="0" xfId="0" applyNumberFormat="1" applyFill="1"/>
    <xf numFmtId="43" fontId="0" fillId="0" borderId="0" xfId="2" applyFont="1" applyFill="1" applyBorder="1"/>
    <xf numFmtId="2" fontId="5" fillId="4" borderId="3" xfId="9" applyNumberFormat="1"/>
    <xf numFmtId="4" fontId="0" fillId="0" borderId="0" xfId="0" applyNumberFormat="1"/>
    <xf numFmtId="0" fontId="0" fillId="5" borderId="0" xfId="0" applyFill="1"/>
    <xf numFmtId="0" fontId="0" fillId="6" borderId="0" xfId="0" applyFill="1"/>
    <xf numFmtId="2" fontId="0" fillId="5" borderId="0" xfId="0" applyNumberFormat="1" applyFill="1"/>
    <xf numFmtId="2" fontId="0" fillId="6" borderId="0" xfId="0" applyNumberFormat="1" applyFill="1"/>
    <xf numFmtId="2" fontId="0" fillId="0" borderId="0" xfId="2" applyNumberFormat="1" applyFont="1"/>
    <xf numFmtId="2" fontId="0" fillId="5" borderId="0" xfId="0" applyNumberFormat="1" applyFill="1" applyAlignment="1">
      <alignment horizontal="right" indent="1"/>
    </xf>
    <xf numFmtId="2" fontId="0" fillId="6" borderId="0" xfId="0" applyNumberFormat="1" applyFill="1" applyAlignment="1">
      <alignment horizontal="right" indent="1"/>
    </xf>
    <xf numFmtId="2" fontId="0" fillId="5" borderId="0" xfId="0" applyNumberFormat="1" applyFill="1" applyAlignment="1">
      <alignment horizontal="right"/>
    </xf>
    <xf numFmtId="10" fontId="0" fillId="5" borderId="0" xfId="1" applyNumberFormat="1" applyFont="1" applyFill="1"/>
    <xf numFmtId="2" fontId="0" fillId="0" borderId="0" xfId="0" applyNumberFormat="1" applyAlignment="1">
      <alignment horizontal="right"/>
    </xf>
    <xf numFmtId="2" fontId="0" fillId="7" borderId="0" xfId="0" applyNumberFormat="1" applyFill="1"/>
    <xf numFmtId="10" fontId="0" fillId="6" borderId="0" xfId="1" applyNumberFormat="1" applyFont="1" applyFill="1"/>
    <xf numFmtId="0" fontId="11" fillId="7" borderId="0" xfId="0" applyFont="1" applyFill="1"/>
    <xf numFmtId="0" fontId="12" fillId="0" borderId="0" xfId="0" applyFont="1"/>
    <xf numFmtId="9" fontId="0" fillId="9" borderId="10" xfId="0" applyNumberFormat="1" applyFill="1" applyBorder="1"/>
    <xf numFmtId="0" fontId="0" fillId="9" borderId="11" xfId="0" applyFill="1" applyBorder="1"/>
    <xf numFmtId="0" fontId="0" fillId="9" borderId="10" xfId="0" applyFill="1" applyBorder="1"/>
    <xf numFmtId="2" fontId="0" fillId="9" borderId="6" xfId="0" applyNumberFormat="1" applyFill="1" applyBorder="1"/>
    <xf numFmtId="2" fontId="0" fillId="9" borderId="12" xfId="0" applyNumberFormat="1" applyFill="1" applyBorder="1"/>
    <xf numFmtId="0" fontId="0" fillId="9" borderId="5" xfId="0" applyFill="1" applyBorder="1"/>
    <xf numFmtId="0" fontId="0" fillId="9" borderId="6" xfId="0" applyFill="1" applyBorder="1"/>
    <xf numFmtId="0" fontId="0" fillId="9" borderId="12" xfId="0" applyFill="1" applyBorder="1"/>
    <xf numFmtId="0" fontId="0" fillId="9" borderId="4" xfId="0" applyFill="1" applyBorder="1"/>
    <xf numFmtId="2" fontId="0" fillId="9" borderId="0" xfId="0" applyNumberFormat="1" applyFill="1"/>
    <xf numFmtId="2" fontId="0" fillId="9" borderId="8" xfId="0" applyNumberFormat="1" applyFill="1" applyBorder="1"/>
    <xf numFmtId="1" fontId="0" fillId="9" borderId="6" xfId="0" applyNumberFormat="1" applyFill="1" applyBorder="1"/>
    <xf numFmtId="1" fontId="0" fillId="9" borderId="12" xfId="0" applyNumberFormat="1" applyFill="1" applyBorder="1"/>
    <xf numFmtId="2" fontId="0" fillId="9" borderId="7" xfId="0" applyNumberFormat="1" applyFill="1" applyBorder="1"/>
    <xf numFmtId="2" fontId="0" fillId="9" borderId="9" xfId="0" applyNumberFormat="1" applyFill="1" applyBorder="1"/>
    <xf numFmtId="9" fontId="0" fillId="9" borderId="4" xfId="0" applyNumberFormat="1" applyFill="1" applyBorder="1"/>
    <xf numFmtId="0" fontId="0" fillId="9" borderId="3" xfId="0" applyFill="1" applyBorder="1"/>
    <xf numFmtId="0" fontId="0" fillId="9" borderId="1" xfId="0" applyFill="1" applyBorder="1"/>
    <xf numFmtId="9" fontId="0" fillId="9" borderId="2" xfId="0" applyNumberFormat="1" applyFill="1" applyBorder="1"/>
    <xf numFmtId="0" fontId="0" fillId="9" borderId="15" xfId="0" applyFill="1" applyBorder="1"/>
    <xf numFmtId="0" fontId="0" fillId="9" borderId="2" xfId="0" applyFill="1" applyBorder="1"/>
    <xf numFmtId="2" fontId="0" fillId="9" borderId="13" xfId="0" applyNumberFormat="1" applyFill="1" applyBorder="1"/>
    <xf numFmtId="0" fontId="12" fillId="10" borderId="10" xfId="0" applyFont="1" applyFill="1" applyBorder="1"/>
    <xf numFmtId="0" fontId="0" fillId="10" borderId="10" xfId="0" applyFill="1" applyBorder="1"/>
    <xf numFmtId="10" fontId="0" fillId="10" borderId="10" xfId="1" applyNumberFormat="1" applyFont="1" applyFill="1" applyBorder="1"/>
    <xf numFmtId="0" fontId="0" fillId="10" borderId="10" xfId="0" applyFill="1" applyBorder="1" applyAlignment="1">
      <alignment wrapText="1"/>
    </xf>
    <xf numFmtId="0" fontId="1" fillId="0" borderId="6" xfId="0" applyFont="1" applyBorder="1"/>
    <xf numFmtId="2" fontId="1" fillId="0" borderId="6" xfId="0" applyNumberFormat="1" applyFont="1" applyBorder="1"/>
    <xf numFmtId="2" fontId="1" fillId="8" borderId="6" xfId="0" applyNumberFormat="1" applyFont="1" applyFill="1" applyBorder="1"/>
    <xf numFmtId="2" fontId="1" fillId="5" borderId="6" xfId="0" applyNumberFormat="1" applyFont="1" applyFill="1" applyBorder="1"/>
    <xf numFmtId="0" fontId="0" fillId="10" borderId="3" xfId="0" applyFill="1" applyBorder="1"/>
    <xf numFmtId="0" fontId="0" fillId="10" borderId="11" xfId="0" applyFill="1" applyBorder="1"/>
    <xf numFmtId="0" fontId="0" fillId="10" borderId="3" xfId="0" applyFill="1" applyBorder="1" applyAlignment="1">
      <alignment wrapText="1"/>
    </xf>
    <xf numFmtId="0" fontId="0" fillId="6" borderId="0" xfId="0" applyFill="1" applyAlignment="1">
      <alignment horizontal="right"/>
    </xf>
    <xf numFmtId="0" fontId="0" fillId="5" borderId="0" xfId="0" applyFill="1" applyAlignment="1">
      <alignment horizontal="right"/>
    </xf>
    <xf numFmtId="0" fontId="0" fillId="0" borderId="0" xfId="0" applyAlignment="1">
      <alignment horizontal="left"/>
    </xf>
    <xf numFmtId="176" fontId="0" fillId="0" borderId="0" xfId="0" applyNumberFormat="1"/>
    <xf numFmtId="2" fontId="0" fillId="9" borderId="16" xfId="0" applyNumberFormat="1" applyFont="1" applyFill="1" applyBorder="1"/>
    <xf numFmtId="2" fontId="0" fillId="11" borderId="16" xfId="0" applyNumberFormat="1" applyFont="1" applyFill="1" applyBorder="1"/>
    <xf numFmtId="2" fontId="0" fillId="9" borderId="17" xfId="0" applyNumberFormat="1" applyFont="1" applyFill="1" applyBorder="1"/>
    <xf numFmtId="2" fontId="0" fillId="11" borderId="17" xfId="0" applyNumberFormat="1" applyFont="1" applyFill="1" applyBorder="1"/>
    <xf numFmtId="2" fontId="0" fillId="9" borderId="10" xfId="0" applyNumberFormat="1" applyFill="1" applyBorder="1"/>
    <xf numFmtId="0" fontId="0" fillId="10" borderId="1" xfId="0" applyFill="1" applyBorder="1"/>
    <xf numFmtId="0" fontId="0" fillId="10" borderId="4" xfId="0" applyFill="1" applyBorder="1"/>
    <xf numFmtId="0" fontId="0" fillId="10" borderId="2" xfId="0" applyFill="1" applyBorder="1"/>
    <xf numFmtId="0" fontId="0" fillId="9" borderId="5" xfId="0" applyFill="1" applyBorder="1" applyAlignment="1">
      <alignment horizontal="center"/>
    </xf>
    <xf numFmtId="0" fontId="0" fillId="9" borderId="6" xfId="0" applyFill="1" applyBorder="1" applyAlignment="1">
      <alignment horizontal="center"/>
    </xf>
    <xf numFmtId="0" fontId="0" fillId="9" borderId="12" xfId="0" applyFill="1" applyBorder="1" applyAlignment="1">
      <alignment horizontal="center"/>
    </xf>
    <xf numFmtId="2" fontId="0" fillId="9" borderId="1" xfId="0" applyNumberFormat="1" applyFill="1" applyBorder="1"/>
    <xf numFmtId="2" fontId="0" fillId="9" borderId="2" xfId="0" applyNumberFormat="1" applyFill="1" applyBorder="1"/>
    <xf numFmtId="2" fontId="0" fillId="9" borderId="3" xfId="0" applyNumberFormat="1" applyFill="1" applyBorder="1"/>
    <xf numFmtId="0" fontId="0" fillId="10" borderId="14" xfId="0" applyFill="1" applyBorder="1" applyAlignment="1">
      <alignment wrapText="1"/>
    </xf>
    <xf numFmtId="0" fontId="0" fillId="2" borderId="0" xfId="0" applyFill="1"/>
    <xf numFmtId="10" fontId="0" fillId="2" borderId="0" xfId="1" applyNumberFormat="1" applyFont="1" applyFill="1"/>
  </cellXfs>
  <cellStyles count="13">
    <cellStyle name="Comma" xfId="2" builtinId="3"/>
    <cellStyle name="fa_column_header_bottom" xfId="6" xr:uid="{E1F2EDE9-8D08-4E37-8A92-740CE11D4965}"/>
    <cellStyle name="fa_column_header_bottom_left" xfId="5" xr:uid="{5434D54E-0E7F-41A0-A3D6-8EA2B3342613}"/>
    <cellStyle name="fa_column_header_top" xfId="4" xr:uid="{E93129E7-19C7-4A88-9462-638D2364E84F}"/>
    <cellStyle name="fa_column_header_top_left" xfId="3" xr:uid="{C47DE855-435F-4F0C-B3E9-EE2EDDD58AB1}"/>
    <cellStyle name="fa_data_bold_1_grouped" xfId="8" xr:uid="{FAD429E3-3EB5-495D-A6FF-1DA2F871DB73}"/>
    <cellStyle name="fa_data_italic_1_grouped" xfId="12" xr:uid="{ED34537B-21DA-41C6-AA78-5E6AE098DF1F}"/>
    <cellStyle name="fa_data_standard_1_grouped" xfId="10" xr:uid="{134AEC7F-82A6-4F4A-B121-23ACB4AE91C6}"/>
    <cellStyle name="fa_row_header_bold" xfId="7" xr:uid="{71E0D2F3-5EBE-4975-9F6A-0E8A5FA7D4B8}"/>
    <cellStyle name="fa_row_header_italic" xfId="11" xr:uid="{E908B1CD-2E27-4237-9579-2FA42FB5915A}"/>
    <cellStyle name="fa_row_header_standard" xfId="9" xr:uid="{98FF6CF1-3CDF-4D1A-899E-8128DC975EFC}"/>
    <cellStyle name="Normal" xfId="0" builtinId="0"/>
    <cellStyle name="Percent" xfId="1" builtinId="5"/>
  </cellStyles>
  <dxfs count="13">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'Base Forecast'!$A$20</c:f>
              <c:strCache>
                <c:ptCount val="1"/>
                <c:pt idx="0">
                  <c:v>Operational Revenue (millions)</c:v>
                </c:pt>
              </c:strCache>
            </c:strRef>
          </c:tx>
          <c:spPr>
            <a:ln w="28575" cap="rnd">
              <a:solidFill>
                <a:schemeClr val="accent1"/>
              </a:solidFill>
              <a:round/>
            </a:ln>
            <a:effectLst/>
          </c:spPr>
          <c:marker>
            <c:symbol val="none"/>
          </c:marker>
          <c:cat>
            <c:strRef>
              <c:f>'Base Forecast'!$B$2:$S$2</c:f>
              <c:strCache>
                <c:ptCount val="18"/>
                <c:pt idx="0">
                  <c:v>2012A</c:v>
                </c:pt>
                <c:pt idx="1">
                  <c:v>2013A</c:v>
                </c:pt>
                <c:pt idx="2">
                  <c:v>2014A</c:v>
                </c:pt>
                <c:pt idx="3">
                  <c:v>2015A</c:v>
                </c:pt>
                <c:pt idx="4">
                  <c:v>2016A</c:v>
                </c:pt>
                <c:pt idx="5">
                  <c:v>2017A</c:v>
                </c:pt>
                <c:pt idx="6">
                  <c:v>2018A</c:v>
                </c:pt>
                <c:pt idx="7">
                  <c:v>2019A</c:v>
                </c:pt>
                <c:pt idx="8">
                  <c:v>2020A</c:v>
                </c:pt>
                <c:pt idx="9">
                  <c:v>2021A</c:v>
                </c:pt>
                <c:pt idx="10">
                  <c:v>2022A</c:v>
                </c:pt>
                <c:pt idx="11">
                  <c:v>2023A</c:v>
                </c:pt>
                <c:pt idx="12">
                  <c:v>2024E</c:v>
                </c:pt>
                <c:pt idx="13">
                  <c:v>2025E</c:v>
                </c:pt>
                <c:pt idx="14">
                  <c:v>2026E</c:v>
                </c:pt>
                <c:pt idx="15">
                  <c:v>2027E</c:v>
                </c:pt>
                <c:pt idx="16">
                  <c:v>2028E</c:v>
                </c:pt>
                <c:pt idx="17">
                  <c:v>2029E</c:v>
                </c:pt>
              </c:strCache>
            </c:strRef>
          </c:cat>
          <c:val>
            <c:numRef>
              <c:f>'Base Forecast'!$B$20:$S$20</c:f>
              <c:numCache>
                <c:formatCode>0.00</c:formatCode>
                <c:ptCount val="18"/>
                <c:pt idx="0">
                  <c:v>1226.165</c:v>
                </c:pt>
                <c:pt idx="1">
                  <c:v>1348.482</c:v>
                </c:pt>
                <c:pt idx="2">
                  <c:v>1502.8910000000001</c:v>
                </c:pt>
                <c:pt idx="3">
                  <c:v>1578</c:v>
                </c:pt>
                <c:pt idx="4">
                  <c:v>1804.32</c:v>
                </c:pt>
                <c:pt idx="5">
                  <c:v>1716.27</c:v>
                </c:pt>
                <c:pt idx="6">
                  <c:v>1615</c:v>
                </c:pt>
                <c:pt idx="7">
                  <c:v>1783</c:v>
                </c:pt>
                <c:pt idx="8">
                  <c:v>1835.85</c:v>
                </c:pt>
                <c:pt idx="9">
                  <c:v>1977.73</c:v>
                </c:pt>
                <c:pt idx="10">
                  <c:v>2055.37</c:v>
                </c:pt>
                <c:pt idx="11">
                  <c:v>2088.6999999999998</c:v>
                </c:pt>
                <c:pt idx="12">
                  <c:v>2230.1432642171649</c:v>
                </c:pt>
                <c:pt idx="13">
                  <c:v>2352.8041276742174</c:v>
                </c:pt>
                <c:pt idx="14">
                  <c:v>2436.0819213494283</c:v>
                </c:pt>
                <c:pt idx="15">
                  <c:v>2512.555166876557</c:v>
                </c:pt>
                <c:pt idx="16">
                  <c:v>2631.5435067373087</c:v>
                </c:pt>
                <c:pt idx="17">
                  <c:v>2733.5323228077887</c:v>
                </c:pt>
              </c:numCache>
            </c:numRef>
          </c:val>
          <c:smooth val="0"/>
          <c:extLst>
            <c:ext xmlns:c16="http://schemas.microsoft.com/office/drawing/2014/chart" uri="{C3380CC4-5D6E-409C-BE32-E72D297353CC}">
              <c16:uniqueId val="{00000000-77A8-4DC5-BD86-506CAF914CB0}"/>
            </c:ext>
          </c:extLst>
        </c:ser>
        <c:dLbls>
          <c:showLegendKey val="0"/>
          <c:showVal val="0"/>
          <c:showCatName val="0"/>
          <c:showSerName val="0"/>
          <c:showPercent val="0"/>
          <c:showBubbleSize val="0"/>
        </c:dLbls>
        <c:smooth val="0"/>
        <c:axId val="1850052239"/>
        <c:axId val="1850053679"/>
      </c:lineChart>
      <c:catAx>
        <c:axId val="1850052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0053679"/>
        <c:crosses val="autoZero"/>
        <c:auto val="1"/>
        <c:lblAlgn val="ctr"/>
        <c:lblOffset val="100"/>
        <c:noMultiLvlLbl val="0"/>
      </c:catAx>
      <c:valAx>
        <c:axId val="185005367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00522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Operational Revenue (millions)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cat>
            <c:strRef>
              <c:f>'Bear Forecast'!$B$2:$S$2</c:f>
              <c:strCache>
                <c:ptCount val="18"/>
                <c:pt idx="0">
                  <c:v>2012A</c:v>
                </c:pt>
                <c:pt idx="1">
                  <c:v>2013A</c:v>
                </c:pt>
                <c:pt idx="2">
                  <c:v>2014A</c:v>
                </c:pt>
                <c:pt idx="3">
                  <c:v>2015A</c:v>
                </c:pt>
                <c:pt idx="4">
                  <c:v>2016A</c:v>
                </c:pt>
                <c:pt idx="5">
                  <c:v>2017A</c:v>
                </c:pt>
                <c:pt idx="6">
                  <c:v>2018A</c:v>
                </c:pt>
                <c:pt idx="7">
                  <c:v>2019A</c:v>
                </c:pt>
                <c:pt idx="8">
                  <c:v>2020A</c:v>
                </c:pt>
                <c:pt idx="9">
                  <c:v>2021A</c:v>
                </c:pt>
                <c:pt idx="10">
                  <c:v>2022A</c:v>
                </c:pt>
                <c:pt idx="11">
                  <c:v>2023A</c:v>
                </c:pt>
                <c:pt idx="12">
                  <c:v>2024E</c:v>
                </c:pt>
                <c:pt idx="13">
                  <c:v>2025E</c:v>
                </c:pt>
                <c:pt idx="14">
                  <c:v>2026E</c:v>
                </c:pt>
                <c:pt idx="15">
                  <c:v>2027E</c:v>
                </c:pt>
                <c:pt idx="16">
                  <c:v>2028E</c:v>
                </c:pt>
                <c:pt idx="17">
                  <c:v>2029E</c:v>
                </c:pt>
              </c:strCache>
            </c:strRef>
          </c:cat>
          <c:val>
            <c:numRef>
              <c:f>'Bear Forecast'!$B$20:$S$20</c:f>
              <c:numCache>
                <c:formatCode>0.00</c:formatCode>
                <c:ptCount val="18"/>
                <c:pt idx="0">
                  <c:v>1226.165</c:v>
                </c:pt>
                <c:pt idx="1">
                  <c:v>1348.482</c:v>
                </c:pt>
                <c:pt idx="2">
                  <c:v>1502.8910000000001</c:v>
                </c:pt>
                <c:pt idx="3">
                  <c:v>1578</c:v>
                </c:pt>
                <c:pt idx="4">
                  <c:v>1804.32</c:v>
                </c:pt>
                <c:pt idx="5">
                  <c:v>1716.27</c:v>
                </c:pt>
                <c:pt idx="6">
                  <c:v>1615</c:v>
                </c:pt>
                <c:pt idx="7">
                  <c:v>1783</c:v>
                </c:pt>
                <c:pt idx="8">
                  <c:v>1835.85</c:v>
                </c:pt>
                <c:pt idx="9">
                  <c:v>1977.73</c:v>
                </c:pt>
                <c:pt idx="10">
                  <c:v>2055.37</c:v>
                </c:pt>
                <c:pt idx="11">
                  <c:v>2088.6999999999998</c:v>
                </c:pt>
                <c:pt idx="12">
                  <c:v>2230.1432642171649</c:v>
                </c:pt>
                <c:pt idx="13">
                  <c:v>2202.0575563902676</c:v>
                </c:pt>
                <c:pt idx="14">
                  <c:v>2207.9985810439575</c:v>
                </c:pt>
                <c:pt idx="15">
                  <c:v>2260.6863608799076</c:v>
                </c:pt>
                <c:pt idx="16">
                  <c:v>2363.9783440418228</c:v>
                </c:pt>
                <c:pt idx="17">
                  <c:v>2450.5525421762627</c:v>
                </c:pt>
              </c:numCache>
            </c:numRef>
          </c:val>
          <c:smooth val="0"/>
          <c:extLst>
            <c:ext xmlns:c16="http://schemas.microsoft.com/office/drawing/2014/chart" uri="{C3380CC4-5D6E-409C-BE32-E72D297353CC}">
              <c16:uniqueId val="{00000000-5880-4BD8-A204-5DB4EB58DD72}"/>
            </c:ext>
          </c:extLst>
        </c:ser>
        <c:dLbls>
          <c:showLegendKey val="0"/>
          <c:showVal val="0"/>
          <c:showCatName val="0"/>
          <c:showSerName val="0"/>
          <c:showPercent val="0"/>
          <c:showBubbleSize val="0"/>
        </c:dLbls>
        <c:smooth val="0"/>
        <c:axId val="1819677791"/>
        <c:axId val="1819678271"/>
      </c:lineChart>
      <c:catAx>
        <c:axId val="18196777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9678271"/>
        <c:crosses val="autoZero"/>
        <c:auto val="1"/>
        <c:lblAlgn val="ctr"/>
        <c:lblOffset val="100"/>
        <c:noMultiLvlLbl val="0"/>
      </c:catAx>
      <c:valAx>
        <c:axId val="181967827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96777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Operational Revenue (millions)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1248783823997947"/>
          <c:y val="0.1405516162258742"/>
          <c:w val="0.86279452187034289"/>
          <c:h val="0.72227089194089134"/>
        </c:manualLayout>
      </c:layout>
      <c:lineChart>
        <c:grouping val="standard"/>
        <c:varyColors val="0"/>
        <c:ser>
          <c:idx val="0"/>
          <c:order val="0"/>
          <c:spPr>
            <a:ln w="28575" cap="rnd">
              <a:solidFill>
                <a:schemeClr val="accent1"/>
              </a:solidFill>
              <a:round/>
            </a:ln>
            <a:effectLst/>
          </c:spPr>
          <c:marker>
            <c:symbol val="none"/>
          </c:marker>
          <c:cat>
            <c:strRef>
              <c:f>'Bull Forecast'!$B$2:$S$2</c:f>
              <c:strCache>
                <c:ptCount val="18"/>
                <c:pt idx="0">
                  <c:v>2012A</c:v>
                </c:pt>
                <c:pt idx="1">
                  <c:v>2013A</c:v>
                </c:pt>
                <c:pt idx="2">
                  <c:v>2014A</c:v>
                </c:pt>
                <c:pt idx="3">
                  <c:v>2015A</c:v>
                </c:pt>
                <c:pt idx="4">
                  <c:v>2016A</c:v>
                </c:pt>
                <c:pt idx="5">
                  <c:v>2017A</c:v>
                </c:pt>
                <c:pt idx="6">
                  <c:v>2018A</c:v>
                </c:pt>
                <c:pt idx="7">
                  <c:v>2019A</c:v>
                </c:pt>
                <c:pt idx="8">
                  <c:v>2020A</c:v>
                </c:pt>
                <c:pt idx="9">
                  <c:v>2021A</c:v>
                </c:pt>
                <c:pt idx="10">
                  <c:v>2022A</c:v>
                </c:pt>
                <c:pt idx="11">
                  <c:v>2023A</c:v>
                </c:pt>
                <c:pt idx="12">
                  <c:v>2024E</c:v>
                </c:pt>
                <c:pt idx="13">
                  <c:v>2025E</c:v>
                </c:pt>
                <c:pt idx="14">
                  <c:v>2026E</c:v>
                </c:pt>
                <c:pt idx="15">
                  <c:v>2027E</c:v>
                </c:pt>
                <c:pt idx="16">
                  <c:v>2028E</c:v>
                </c:pt>
                <c:pt idx="17">
                  <c:v>2029E</c:v>
                </c:pt>
              </c:strCache>
            </c:strRef>
          </c:cat>
          <c:val>
            <c:numRef>
              <c:f>'Bull Forecast'!$B$20:$S$20</c:f>
              <c:numCache>
                <c:formatCode>0.00</c:formatCode>
                <c:ptCount val="18"/>
                <c:pt idx="0">
                  <c:v>1226.165</c:v>
                </c:pt>
                <c:pt idx="1">
                  <c:v>1348.482</c:v>
                </c:pt>
                <c:pt idx="2">
                  <c:v>1502.8910000000001</c:v>
                </c:pt>
                <c:pt idx="3">
                  <c:v>1578</c:v>
                </c:pt>
                <c:pt idx="4">
                  <c:v>1804.32</c:v>
                </c:pt>
                <c:pt idx="5">
                  <c:v>1716.27</c:v>
                </c:pt>
                <c:pt idx="6">
                  <c:v>1615</c:v>
                </c:pt>
                <c:pt idx="7">
                  <c:v>1783</c:v>
                </c:pt>
                <c:pt idx="8">
                  <c:v>1835.85</c:v>
                </c:pt>
                <c:pt idx="9">
                  <c:v>1977.73</c:v>
                </c:pt>
                <c:pt idx="10">
                  <c:v>2055.37</c:v>
                </c:pt>
                <c:pt idx="11">
                  <c:v>2088.6999999999998</c:v>
                </c:pt>
                <c:pt idx="12">
                  <c:v>2230.1432642171649</c:v>
                </c:pt>
                <c:pt idx="13">
                  <c:v>2541.2313687201677</c:v>
                </c:pt>
                <c:pt idx="14">
                  <c:v>2664.1750728164989</c:v>
                </c:pt>
                <c:pt idx="15">
                  <c:v>2764.4212081821065</c:v>
                </c:pt>
                <c:pt idx="16">
                  <c:v>2899.2007604253945</c:v>
                </c:pt>
                <c:pt idx="17">
                  <c:v>3013.2943184934447</c:v>
                </c:pt>
              </c:numCache>
            </c:numRef>
          </c:val>
          <c:smooth val="0"/>
          <c:extLst>
            <c:ext xmlns:c16="http://schemas.microsoft.com/office/drawing/2014/chart" uri="{C3380CC4-5D6E-409C-BE32-E72D297353CC}">
              <c16:uniqueId val="{00000000-5618-4286-A221-E69C3195F4AC}"/>
            </c:ext>
          </c:extLst>
        </c:ser>
        <c:dLbls>
          <c:showLegendKey val="0"/>
          <c:showVal val="0"/>
          <c:showCatName val="0"/>
          <c:showSerName val="0"/>
          <c:showPercent val="0"/>
          <c:showBubbleSize val="0"/>
        </c:dLbls>
        <c:smooth val="0"/>
        <c:axId val="1838010223"/>
        <c:axId val="1838009743"/>
      </c:lineChart>
      <c:catAx>
        <c:axId val="1838010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8009743"/>
        <c:crosses val="autoZero"/>
        <c:auto val="1"/>
        <c:lblAlgn val="ctr"/>
        <c:lblOffset val="100"/>
        <c:noMultiLvlLbl val="0"/>
      </c:catAx>
      <c:valAx>
        <c:axId val="18380097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801022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'Gateway fore'!$B$1</c:f>
              <c:strCache>
                <c:ptCount val="1"/>
                <c:pt idx="0">
                  <c:v>Values</c:v>
                </c:pt>
              </c:strCache>
            </c:strRef>
          </c:tx>
          <c:spPr>
            <a:ln w="28575" cap="rnd">
              <a:solidFill>
                <a:schemeClr val="accent1"/>
              </a:solidFill>
              <a:round/>
            </a:ln>
            <a:effectLst/>
          </c:spPr>
          <c:marker>
            <c:symbol val="none"/>
          </c:marker>
          <c:val>
            <c:numRef>
              <c:f>'Gateway fore'!$B$2:$B$19</c:f>
              <c:numCache>
                <c:formatCode>0.00</c:formatCode>
                <c:ptCount val="18"/>
                <c:pt idx="0">
                  <c:v>2</c:v>
                </c:pt>
                <c:pt idx="1">
                  <c:v>2.2000000000000002</c:v>
                </c:pt>
                <c:pt idx="2">
                  <c:v>2.5</c:v>
                </c:pt>
                <c:pt idx="3">
                  <c:v>2.5</c:v>
                </c:pt>
                <c:pt idx="4">
                  <c:v>2.556</c:v>
                </c:pt>
                <c:pt idx="5">
                  <c:v>2.8050000000000002</c:v>
                </c:pt>
                <c:pt idx="6">
                  <c:v>3.298</c:v>
                </c:pt>
                <c:pt idx="7">
                  <c:v>3.6309999999999998</c:v>
                </c:pt>
                <c:pt idx="8">
                  <c:v>3.7530000000000001</c:v>
                </c:pt>
                <c:pt idx="9">
                  <c:v>3.65</c:v>
                </c:pt>
                <c:pt idx="10">
                  <c:v>3.968</c:v>
                </c:pt>
                <c:pt idx="11">
                  <c:v>4.5289999999999999</c:v>
                </c:pt>
                <c:pt idx="12">
                  <c:v>4.91</c:v>
                </c:pt>
              </c:numCache>
            </c:numRef>
          </c:val>
          <c:smooth val="0"/>
          <c:extLst>
            <c:ext xmlns:c16="http://schemas.microsoft.com/office/drawing/2014/chart" uri="{C3380CC4-5D6E-409C-BE32-E72D297353CC}">
              <c16:uniqueId val="{00000000-B419-4A9A-BCBD-174E82A5BEEE}"/>
            </c:ext>
          </c:extLst>
        </c:ser>
        <c:ser>
          <c:idx val="1"/>
          <c:order val="1"/>
          <c:tx>
            <c:strRef>
              <c:f>'Gateway fore'!$C$1</c:f>
              <c:strCache>
                <c:ptCount val="1"/>
                <c:pt idx="0">
                  <c:v>Forecast</c:v>
                </c:pt>
              </c:strCache>
            </c:strRef>
          </c:tx>
          <c:spPr>
            <a:ln w="25400" cap="rnd">
              <a:solidFill>
                <a:schemeClr val="accent2"/>
              </a:solidFill>
              <a:round/>
            </a:ln>
            <a:effectLst/>
          </c:spPr>
          <c:marker>
            <c:symbol val="none"/>
          </c:marker>
          <c:cat>
            <c:numRef>
              <c:f>'Gateway fore'!$A$2:$A$19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'Gateway fore'!$C$2:$C$19</c:f>
              <c:numCache>
                <c:formatCode>General</c:formatCode>
                <c:ptCount val="18"/>
                <c:pt idx="12" formatCode="0.00">
                  <c:v>4.91</c:v>
                </c:pt>
                <c:pt idx="13" formatCode="0.00">
                  <c:v>4.9670876957660566</c:v>
                </c:pt>
                <c:pt idx="14" formatCode="0.00">
                  <c:v>4.9705360755622658</c:v>
                </c:pt>
                <c:pt idx="15" formatCode="0.00">
                  <c:v>5.2338335895225958</c:v>
                </c:pt>
                <c:pt idx="16" formatCode="0.00">
                  <c:v>5.7147891730962712</c:v>
                </c:pt>
                <c:pt idx="17" formatCode="0.00">
                  <c:v>6.0499712731950712</c:v>
                </c:pt>
              </c:numCache>
            </c:numRef>
          </c:val>
          <c:smooth val="0"/>
          <c:extLst>
            <c:ext xmlns:c16="http://schemas.microsoft.com/office/drawing/2014/chart" uri="{C3380CC4-5D6E-409C-BE32-E72D297353CC}">
              <c16:uniqueId val="{00000001-B419-4A9A-BCBD-174E82A5BEEE}"/>
            </c:ext>
          </c:extLst>
        </c:ser>
        <c:ser>
          <c:idx val="2"/>
          <c:order val="2"/>
          <c:tx>
            <c:strRef>
              <c:f>'Gateway fore'!$D$1</c:f>
              <c:strCache>
                <c:ptCount val="1"/>
                <c:pt idx="0">
                  <c:v>Lower Confidence Bound</c:v>
                </c:pt>
              </c:strCache>
            </c:strRef>
          </c:tx>
          <c:spPr>
            <a:ln w="12700" cap="rnd">
              <a:solidFill>
                <a:srgbClr val="E97132"/>
              </a:solidFill>
              <a:prstDash val="solid"/>
              <a:round/>
            </a:ln>
            <a:effectLst/>
          </c:spPr>
          <c:marker>
            <c:symbol val="none"/>
          </c:marker>
          <c:cat>
            <c:numRef>
              <c:f>'Gateway fore'!$A$2:$A$19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'Gateway fore'!$D$2:$D$19</c:f>
              <c:numCache>
                <c:formatCode>General</c:formatCode>
                <c:ptCount val="18"/>
                <c:pt idx="12" formatCode="0.00">
                  <c:v>4.91</c:v>
                </c:pt>
                <c:pt idx="13" formatCode="0.00">
                  <c:v>4.8365905775211058</c:v>
                </c:pt>
                <c:pt idx="14" formatCode="0.00">
                  <c:v>4.7948828340015339</c:v>
                </c:pt>
                <c:pt idx="15" formatCode="0.00">
                  <c:v>5.0223877835674795</c:v>
                </c:pt>
                <c:pt idx="16" formatCode="0.00">
                  <c:v>5.4727244406694249</c:v>
                </c:pt>
                <c:pt idx="17" formatCode="0.00">
                  <c:v>5.7806905408423761</c:v>
                </c:pt>
              </c:numCache>
            </c:numRef>
          </c:val>
          <c:smooth val="0"/>
          <c:extLst>
            <c:ext xmlns:c16="http://schemas.microsoft.com/office/drawing/2014/chart" uri="{C3380CC4-5D6E-409C-BE32-E72D297353CC}">
              <c16:uniqueId val="{00000002-B419-4A9A-BCBD-174E82A5BEEE}"/>
            </c:ext>
          </c:extLst>
        </c:ser>
        <c:ser>
          <c:idx val="3"/>
          <c:order val="3"/>
          <c:tx>
            <c:strRef>
              <c:f>'Gateway fore'!$E$1</c:f>
              <c:strCache>
                <c:ptCount val="1"/>
                <c:pt idx="0">
                  <c:v>Upper Confidence Bound</c:v>
                </c:pt>
              </c:strCache>
            </c:strRef>
          </c:tx>
          <c:spPr>
            <a:ln w="12700" cap="rnd">
              <a:solidFill>
                <a:srgbClr val="E97132"/>
              </a:solidFill>
              <a:prstDash val="solid"/>
              <a:round/>
            </a:ln>
            <a:effectLst/>
          </c:spPr>
          <c:marker>
            <c:symbol val="none"/>
          </c:marker>
          <c:cat>
            <c:numRef>
              <c:f>'Gateway fore'!$A$2:$A$19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'Gateway fore'!$E$2:$E$19</c:f>
              <c:numCache>
                <c:formatCode>General</c:formatCode>
                <c:ptCount val="18"/>
                <c:pt idx="12" formatCode="0.00">
                  <c:v>4.91</c:v>
                </c:pt>
                <c:pt idx="13" formatCode="0.00">
                  <c:v>5.0975848140110074</c:v>
                </c:pt>
                <c:pt idx="14" formatCode="0.00">
                  <c:v>5.1461893171229978</c:v>
                </c:pt>
                <c:pt idx="15" formatCode="0.00">
                  <c:v>5.4452793954777121</c:v>
                </c:pt>
                <c:pt idx="16" formatCode="0.00">
                  <c:v>5.9568539055231176</c:v>
                </c:pt>
                <c:pt idx="17" formatCode="0.00">
                  <c:v>6.3192520055477663</c:v>
                </c:pt>
              </c:numCache>
            </c:numRef>
          </c:val>
          <c:smooth val="0"/>
          <c:extLst>
            <c:ext xmlns:c16="http://schemas.microsoft.com/office/drawing/2014/chart" uri="{C3380CC4-5D6E-409C-BE32-E72D297353CC}">
              <c16:uniqueId val="{00000003-B419-4A9A-BCBD-174E82A5BEEE}"/>
            </c:ext>
          </c:extLst>
        </c:ser>
        <c:dLbls>
          <c:showLegendKey val="0"/>
          <c:showVal val="0"/>
          <c:showCatName val="0"/>
          <c:showSerName val="0"/>
          <c:showPercent val="0"/>
          <c:showBubbleSize val="0"/>
        </c:dLbls>
        <c:smooth val="0"/>
        <c:axId val="59931200"/>
        <c:axId val="59931680"/>
      </c:lineChart>
      <c:catAx>
        <c:axId val="59931200"/>
        <c:scaling>
          <c:orientation val="minMax"/>
        </c:scaling>
        <c:delete val="0"/>
        <c:axPos val="b"/>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931680"/>
        <c:crosses val="autoZero"/>
        <c:auto val="1"/>
        <c:lblAlgn val="ctr"/>
        <c:lblOffset val="100"/>
        <c:noMultiLvlLbl val="0"/>
      </c:catAx>
      <c:valAx>
        <c:axId val="5993168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9312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'TS fore '!$B$1</c:f>
              <c:strCache>
                <c:ptCount val="1"/>
                <c:pt idx="0">
                  <c:v>Values</c:v>
                </c:pt>
              </c:strCache>
            </c:strRef>
          </c:tx>
          <c:spPr>
            <a:ln w="28575" cap="rnd">
              <a:solidFill>
                <a:schemeClr val="accent1"/>
              </a:solidFill>
              <a:round/>
            </a:ln>
            <a:effectLst/>
          </c:spPr>
          <c:marker>
            <c:symbol val="none"/>
          </c:marker>
          <c:val>
            <c:numRef>
              <c:f>'TS fore '!$B$2:$B$19</c:f>
              <c:numCache>
                <c:formatCode>0.00</c:formatCode>
                <c:ptCount val="18"/>
                <c:pt idx="0">
                  <c:v>4.9000000000000004</c:v>
                </c:pt>
                <c:pt idx="1">
                  <c:v>5.3</c:v>
                </c:pt>
                <c:pt idx="2">
                  <c:v>5.9</c:v>
                </c:pt>
                <c:pt idx="3">
                  <c:v>6.6</c:v>
                </c:pt>
                <c:pt idx="4">
                  <c:v>7.39</c:v>
                </c:pt>
                <c:pt idx="5">
                  <c:v>6.22</c:v>
                </c:pt>
                <c:pt idx="6">
                  <c:v>6.226</c:v>
                </c:pt>
                <c:pt idx="7">
                  <c:v>7.23</c:v>
                </c:pt>
                <c:pt idx="8">
                  <c:v>6.7510000000000003</c:v>
                </c:pt>
                <c:pt idx="9">
                  <c:v>6.75</c:v>
                </c:pt>
                <c:pt idx="10">
                  <c:v>6.0839999999999996</c:v>
                </c:pt>
                <c:pt idx="11">
                  <c:v>6.3479999999999999</c:v>
                </c:pt>
                <c:pt idx="12">
                  <c:v>5.92</c:v>
                </c:pt>
              </c:numCache>
            </c:numRef>
          </c:val>
          <c:smooth val="0"/>
          <c:extLst>
            <c:ext xmlns:c16="http://schemas.microsoft.com/office/drawing/2014/chart" uri="{C3380CC4-5D6E-409C-BE32-E72D297353CC}">
              <c16:uniqueId val="{00000000-9F41-49E0-87AE-6353C5E7CF6A}"/>
            </c:ext>
          </c:extLst>
        </c:ser>
        <c:ser>
          <c:idx val="1"/>
          <c:order val="1"/>
          <c:tx>
            <c:strRef>
              <c:f>'TS fore '!$C$1</c:f>
              <c:strCache>
                <c:ptCount val="1"/>
                <c:pt idx="0">
                  <c:v>Forecast</c:v>
                </c:pt>
              </c:strCache>
            </c:strRef>
          </c:tx>
          <c:spPr>
            <a:ln w="25400" cap="rnd">
              <a:solidFill>
                <a:schemeClr val="accent2"/>
              </a:solidFill>
              <a:round/>
            </a:ln>
            <a:effectLst/>
          </c:spPr>
          <c:marker>
            <c:symbol val="none"/>
          </c:marker>
          <c:cat>
            <c:numRef>
              <c:f>'TS fore '!$A$2:$A$19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'TS fore '!$C$2:$C$19</c:f>
              <c:numCache>
                <c:formatCode>General</c:formatCode>
                <c:ptCount val="18"/>
                <c:pt idx="12" formatCode="0.00">
                  <c:v>5.92</c:v>
                </c:pt>
                <c:pt idx="13" formatCode="0.00">
                  <c:v>6.5664905063724799</c:v>
                </c:pt>
                <c:pt idx="14" formatCode="0.00">
                  <c:v>6.6369464367637621</c:v>
                </c:pt>
                <c:pt idx="15" formatCode="0.00">
                  <c:v>6.7074023671550451</c:v>
                </c:pt>
                <c:pt idx="16" formatCode="0.00">
                  <c:v>6.7778582975463273</c:v>
                </c:pt>
                <c:pt idx="17" formatCode="0.00">
                  <c:v>6.8483142279376095</c:v>
                </c:pt>
              </c:numCache>
            </c:numRef>
          </c:val>
          <c:smooth val="0"/>
          <c:extLst>
            <c:ext xmlns:c16="http://schemas.microsoft.com/office/drawing/2014/chart" uri="{C3380CC4-5D6E-409C-BE32-E72D297353CC}">
              <c16:uniqueId val="{00000001-9F41-49E0-87AE-6353C5E7CF6A}"/>
            </c:ext>
          </c:extLst>
        </c:ser>
        <c:ser>
          <c:idx val="2"/>
          <c:order val="2"/>
          <c:tx>
            <c:strRef>
              <c:f>'TS fore '!$D$1</c:f>
              <c:strCache>
                <c:ptCount val="1"/>
                <c:pt idx="0">
                  <c:v>Lower Confidence Bound</c:v>
                </c:pt>
              </c:strCache>
            </c:strRef>
          </c:tx>
          <c:spPr>
            <a:ln w="12700" cap="rnd">
              <a:solidFill>
                <a:srgbClr val="E97132"/>
              </a:solidFill>
              <a:prstDash val="solid"/>
              <a:round/>
            </a:ln>
            <a:effectLst/>
          </c:spPr>
          <c:marker>
            <c:symbol val="none"/>
          </c:marker>
          <c:cat>
            <c:numRef>
              <c:f>'TS fore '!$A$2:$A$19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'TS fore '!$D$2:$D$19</c:f>
              <c:numCache>
                <c:formatCode>General</c:formatCode>
                <c:ptCount val="18"/>
                <c:pt idx="12" formatCode="0.00">
                  <c:v>5.92</c:v>
                </c:pt>
                <c:pt idx="13" formatCode="0.00">
                  <c:v>5.6320265420956277</c:v>
                </c:pt>
                <c:pt idx="14" formatCode="0.00">
                  <c:v>5.6734959624328667</c:v>
                </c:pt>
                <c:pt idx="15" formatCode="0.00">
                  <c:v>5.7155909115024031</c:v>
                </c:pt>
                <c:pt idx="16" formatCode="0.00">
                  <c:v>5.7582583327542691</c:v>
                </c:pt>
                <c:pt idx="17" formatCode="0.00">
                  <c:v>5.8014518029482085</c:v>
                </c:pt>
              </c:numCache>
            </c:numRef>
          </c:val>
          <c:smooth val="0"/>
          <c:extLst>
            <c:ext xmlns:c16="http://schemas.microsoft.com/office/drawing/2014/chart" uri="{C3380CC4-5D6E-409C-BE32-E72D297353CC}">
              <c16:uniqueId val="{00000002-9F41-49E0-87AE-6353C5E7CF6A}"/>
            </c:ext>
          </c:extLst>
        </c:ser>
        <c:ser>
          <c:idx val="3"/>
          <c:order val="3"/>
          <c:tx>
            <c:strRef>
              <c:f>'TS fore '!$E$1</c:f>
              <c:strCache>
                <c:ptCount val="1"/>
                <c:pt idx="0">
                  <c:v>Upper Confidence Bound</c:v>
                </c:pt>
              </c:strCache>
            </c:strRef>
          </c:tx>
          <c:spPr>
            <a:ln w="12700" cap="rnd">
              <a:solidFill>
                <a:srgbClr val="E97132"/>
              </a:solidFill>
              <a:prstDash val="solid"/>
              <a:round/>
            </a:ln>
            <a:effectLst/>
          </c:spPr>
          <c:marker>
            <c:symbol val="none"/>
          </c:marker>
          <c:cat>
            <c:numRef>
              <c:f>'TS fore '!$A$2:$A$19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'TS fore '!$E$2:$E$19</c:f>
              <c:numCache>
                <c:formatCode>General</c:formatCode>
                <c:ptCount val="18"/>
                <c:pt idx="12" formatCode="0.00">
                  <c:v>5.92</c:v>
                </c:pt>
                <c:pt idx="13" formatCode="0.00">
                  <c:v>7.5009544706493321</c:v>
                </c:pt>
                <c:pt idx="14" formatCode="0.00">
                  <c:v>7.6003969110946574</c:v>
                </c:pt>
                <c:pt idx="15" formatCode="0.00">
                  <c:v>7.6992138228076872</c:v>
                </c:pt>
                <c:pt idx="16" formatCode="0.00">
                  <c:v>7.7974582623383855</c:v>
                </c:pt>
                <c:pt idx="17" formatCode="0.00">
                  <c:v>7.8951766529270104</c:v>
                </c:pt>
              </c:numCache>
            </c:numRef>
          </c:val>
          <c:smooth val="0"/>
          <c:extLst>
            <c:ext xmlns:c16="http://schemas.microsoft.com/office/drawing/2014/chart" uri="{C3380CC4-5D6E-409C-BE32-E72D297353CC}">
              <c16:uniqueId val="{00000003-9F41-49E0-87AE-6353C5E7CF6A}"/>
            </c:ext>
          </c:extLst>
        </c:ser>
        <c:dLbls>
          <c:showLegendKey val="0"/>
          <c:showVal val="0"/>
          <c:showCatName val="0"/>
          <c:showSerName val="0"/>
          <c:showPercent val="0"/>
          <c:showBubbleSize val="0"/>
        </c:dLbls>
        <c:smooth val="0"/>
        <c:axId val="77169664"/>
        <c:axId val="77170624"/>
      </c:lineChart>
      <c:catAx>
        <c:axId val="77169664"/>
        <c:scaling>
          <c:orientation val="minMax"/>
        </c:scaling>
        <c:delete val="0"/>
        <c:axPos val="b"/>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170624"/>
        <c:crosses val="autoZero"/>
        <c:auto val="1"/>
        <c:lblAlgn val="ctr"/>
        <c:lblOffset val="100"/>
        <c:noMultiLvlLbl val="0"/>
      </c:catAx>
      <c:valAx>
        <c:axId val="7717062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1696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'Conv fore '!$B$1</c:f>
              <c:strCache>
                <c:ptCount val="1"/>
                <c:pt idx="0">
                  <c:v>Values</c:v>
                </c:pt>
              </c:strCache>
            </c:strRef>
          </c:tx>
          <c:spPr>
            <a:ln w="28575" cap="rnd">
              <a:solidFill>
                <a:schemeClr val="accent1"/>
              </a:solidFill>
              <a:round/>
            </a:ln>
            <a:effectLst/>
          </c:spPr>
          <c:marker>
            <c:symbol val="none"/>
          </c:marker>
          <c:val>
            <c:numRef>
              <c:f>'Conv fore '!$B$2:$B$19</c:f>
              <c:numCache>
                <c:formatCode>0.00</c:formatCode>
                <c:ptCount val="18"/>
                <c:pt idx="0">
                  <c:v>10.199999999999999</c:v>
                </c:pt>
                <c:pt idx="1">
                  <c:v>10.7</c:v>
                </c:pt>
                <c:pt idx="2">
                  <c:v>10.3</c:v>
                </c:pt>
                <c:pt idx="3">
                  <c:v>10.199999999999999</c:v>
                </c:pt>
                <c:pt idx="4">
                  <c:v>11.8</c:v>
                </c:pt>
                <c:pt idx="5">
                  <c:v>10.9</c:v>
                </c:pt>
                <c:pt idx="6">
                  <c:v>10.7</c:v>
                </c:pt>
                <c:pt idx="7">
                  <c:v>9.9</c:v>
                </c:pt>
                <c:pt idx="8">
                  <c:v>10.9</c:v>
                </c:pt>
                <c:pt idx="9">
                  <c:v>11.3</c:v>
                </c:pt>
                <c:pt idx="10">
                  <c:v>12.1</c:v>
                </c:pt>
                <c:pt idx="11">
                  <c:v>11.6</c:v>
                </c:pt>
                <c:pt idx="12">
                  <c:v>12.59</c:v>
                </c:pt>
              </c:numCache>
            </c:numRef>
          </c:val>
          <c:smooth val="0"/>
          <c:extLst>
            <c:ext xmlns:c16="http://schemas.microsoft.com/office/drawing/2014/chart" uri="{C3380CC4-5D6E-409C-BE32-E72D297353CC}">
              <c16:uniqueId val="{00000000-9B37-42AF-856C-C152F9D69A58}"/>
            </c:ext>
          </c:extLst>
        </c:ser>
        <c:ser>
          <c:idx val="1"/>
          <c:order val="1"/>
          <c:tx>
            <c:strRef>
              <c:f>'Conv fore '!$C$1</c:f>
              <c:strCache>
                <c:ptCount val="1"/>
                <c:pt idx="0">
                  <c:v>Forecast</c:v>
                </c:pt>
              </c:strCache>
            </c:strRef>
          </c:tx>
          <c:spPr>
            <a:ln w="25400" cap="rnd">
              <a:solidFill>
                <a:schemeClr val="accent2"/>
              </a:solidFill>
              <a:round/>
            </a:ln>
            <a:effectLst/>
          </c:spPr>
          <c:marker>
            <c:symbol val="none"/>
          </c:marker>
          <c:cat>
            <c:numRef>
              <c:f>'Conv fore '!$A$2:$A$19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'Conv fore '!$C$2:$C$19</c:f>
              <c:numCache>
                <c:formatCode>General</c:formatCode>
                <c:ptCount val="18"/>
                <c:pt idx="12" formatCode="0.00">
                  <c:v>12.59</c:v>
                </c:pt>
                <c:pt idx="13" formatCode="0.00">
                  <c:v>12.088661122157216</c:v>
                </c:pt>
                <c:pt idx="14" formatCode="0.00">
                  <c:v>12.233714269731751</c:v>
                </c:pt>
                <c:pt idx="15" formatCode="0.00">
                  <c:v>12.378767417306284</c:v>
                </c:pt>
                <c:pt idx="16" formatCode="0.00">
                  <c:v>12.523820564880818</c:v>
                </c:pt>
                <c:pt idx="17" formatCode="0.00">
                  <c:v>12.668873712455351</c:v>
                </c:pt>
              </c:numCache>
            </c:numRef>
          </c:val>
          <c:smooth val="0"/>
          <c:extLst>
            <c:ext xmlns:c16="http://schemas.microsoft.com/office/drawing/2014/chart" uri="{C3380CC4-5D6E-409C-BE32-E72D297353CC}">
              <c16:uniqueId val="{00000001-9B37-42AF-856C-C152F9D69A58}"/>
            </c:ext>
          </c:extLst>
        </c:ser>
        <c:ser>
          <c:idx val="2"/>
          <c:order val="2"/>
          <c:tx>
            <c:strRef>
              <c:f>'Conv fore '!$D$1</c:f>
              <c:strCache>
                <c:ptCount val="1"/>
                <c:pt idx="0">
                  <c:v>Lower Confidence Bound</c:v>
                </c:pt>
              </c:strCache>
            </c:strRef>
          </c:tx>
          <c:spPr>
            <a:ln w="12700" cap="rnd">
              <a:solidFill>
                <a:srgbClr val="E97132"/>
              </a:solidFill>
              <a:prstDash val="solid"/>
              <a:round/>
            </a:ln>
            <a:effectLst/>
          </c:spPr>
          <c:marker>
            <c:symbol val="none"/>
          </c:marker>
          <c:cat>
            <c:numRef>
              <c:f>'Conv fore '!$A$2:$A$19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'Conv fore '!$D$2:$D$19</c:f>
              <c:numCache>
                <c:formatCode>General</c:formatCode>
                <c:ptCount val="18"/>
                <c:pt idx="12" formatCode="0.00">
                  <c:v>12.59</c:v>
                </c:pt>
                <c:pt idx="13" formatCode="0.00">
                  <c:v>11.359900952009774</c:v>
                </c:pt>
                <c:pt idx="14" formatCode="0.00">
                  <c:v>11.504950820170922</c:v>
                </c:pt>
                <c:pt idx="15" formatCode="0.00">
                  <c:v>11.649998137713649</c:v>
                </c:pt>
                <c:pt idx="16" formatCode="0.00">
                  <c:v>11.795042175956855</c:v>
                </c:pt>
                <c:pt idx="17" formatCode="0.00">
                  <c:v>11.940082206294303</c:v>
                </c:pt>
              </c:numCache>
            </c:numRef>
          </c:val>
          <c:smooth val="0"/>
          <c:extLst>
            <c:ext xmlns:c16="http://schemas.microsoft.com/office/drawing/2014/chart" uri="{C3380CC4-5D6E-409C-BE32-E72D297353CC}">
              <c16:uniqueId val="{00000002-9B37-42AF-856C-C152F9D69A58}"/>
            </c:ext>
          </c:extLst>
        </c:ser>
        <c:ser>
          <c:idx val="3"/>
          <c:order val="3"/>
          <c:tx>
            <c:strRef>
              <c:f>'Conv fore '!$E$1</c:f>
              <c:strCache>
                <c:ptCount val="1"/>
                <c:pt idx="0">
                  <c:v>Upper Confidence Bound</c:v>
                </c:pt>
              </c:strCache>
            </c:strRef>
          </c:tx>
          <c:spPr>
            <a:ln w="12700" cap="rnd">
              <a:solidFill>
                <a:srgbClr val="E97132"/>
              </a:solidFill>
              <a:prstDash val="solid"/>
              <a:round/>
            </a:ln>
            <a:effectLst/>
          </c:spPr>
          <c:marker>
            <c:symbol val="none"/>
          </c:marker>
          <c:cat>
            <c:numRef>
              <c:f>'Conv fore '!$A$2:$A$19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'Conv fore '!$E$2:$E$19</c:f>
              <c:numCache>
                <c:formatCode>General</c:formatCode>
                <c:ptCount val="18"/>
                <c:pt idx="12" formatCode="0.00">
                  <c:v>12.59</c:v>
                </c:pt>
                <c:pt idx="13" formatCode="0.00">
                  <c:v>12.817421292304658</c:v>
                </c:pt>
                <c:pt idx="14" formatCode="0.00">
                  <c:v>12.962477719292579</c:v>
                </c:pt>
                <c:pt idx="15" formatCode="0.00">
                  <c:v>13.107536696898919</c:v>
                </c:pt>
                <c:pt idx="16" formatCode="0.00">
                  <c:v>13.252598953804782</c:v>
                </c:pt>
                <c:pt idx="17" formatCode="0.00">
                  <c:v>13.3976652186164</c:v>
                </c:pt>
              </c:numCache>
            </c:numRef>
          </c:val>
          <c:smooth val="0"/>
          <c:extLst>
            <c:ext xmlns:c16="http://schemas.microsoft.com/office/drawing/2014/chart" uri="{C3380CC4-5D6E-409C-BE32-E72D297353CC}">
              <c16:uniqueId val="{00000003-9B37-42AF-856C-C152F9D69A58}"/>
            </c:ext>
          </c:extLst>
        </c:ser>
        <c:dLbls>
          <c:showLegendKey val="0"/>
          <c:showVal val="0"/>
          <c:showCatName val="0"/>
          <c:showSerName val="0"/>
          <c:showPercent val="0"/>
          <c:showBubbleSize val="0"/>
        </c:dLbls>
        <c:smooth val="0"/>
        <c:axId val="881591215"/>
        <c:axId val="881591695"/>
      </c:lineChart>
      <c:catAx>
        <c:axId val="881591215"/>
        <c:scaling>
          <c:orientation val="minMax"/>
        </c:scaling>
        <c:delete val="0"/>
        <c:axPos val="b"/>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1591695"/>
        <c:crosses val="autoZero"/>
        <c:auto val="1"/>
        <c:lblAlgn val="ctr"/>
        <c:lblOffset val="100"/>
        <c:noMultiLvlLbl val="0"/>
      </c:catAx>
      <c:valAx>
        <c:axId val="88159169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159121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'Rental fore'!$B$1</c:f>
              <c:strCache>
                <c:ptCount val="1"/>
                <c:pt idx="0">
                  <c:v>Values</c:v>
                </c:pt>
              </c:strCache>
            </c:strRef>
          </c:tx>
          <c:spPr>
            <a:ln w="28575" cap="rnd">
              <a:solidFill>
                <a:schemeClr val="accent1"/>
              </a:solidFill>
              <a:round/>
            </a:ln>
            <a:effectLst/>
          </c:spPr>
          <c:marker>
            <c:symbol val="none"/>
          </c:marker>
          <c:val>
            <c:numRef>
              <c:f>'Rental fore'!$B$2:$B$19</c:f>
              <c:numCache>
                <c:formatCode>General</c:formatCode>
                <c:ptCount val="18"/>
                <c:pt idx="0">
                  <c:v>30.085999999999999</c:v>
                </c:pt>
                <c:pt idx="1">
                  <c:v>32.667000000000002</c:v>
                </c:pt>
                <c:pt idx="2">
                  <c:v>37.715000000000003</c:v>
                </c:pt>
                <c:pt idx="3">
                  <c:v>35</c:v>
                </c:pt>
                <c:pt idx="4">
                  <c:v>37.25</c:v>
                </c:pt>
                <c:pt idx="5">
                  <c:v>41.55</c:v>
                </c:pt>
                <c:pt idx="6">
                  <c:v>44.87</c:v>
                </c:pt>
                <c:pt idx="7">
                  <c:v>40.81</c:v>
                </c:pt>
                <c:pt idx="8">
                  <c:v>39.409999999999997</c:v>
                </c:pt>
                <c:pt idx="9">
                  <c:v>43.32</c:v>
                </c:pt>
                <c:pt idx="10">
                  <c:v>49.75</c:v>
                </c:pt>
                <c:pt idx="11">
                  <c:v>53.76</c:v>
                </c:pt>
                <c:pt idx="12">
                  <c:v>64</c:v>
                </c:pt>
              </c:numCache>
            </c:numRef>
          </c:val>
          <c:smooth val="0"/>
          <c:extLst>
            <c:ext xmlns:c16="http://schemas.microsoft.com/office/drawing/2014/chart" uri="{C3380CC4-5D6E-409C-BE32-E72D297353CC}">
              <c16:uniqueId val="{00000000-2326-4A85-9A77-08FBBF2A3014}"/>
            </c:ext>
          </c:extLst>
        </c:ser>
        <c:ser>
          <c:idx val="1"/>
          <c:order val="1"/>
          <c:tx>
            <c:strRef>
              <c:f>'Rental fore'!$C$1</c:f>
              <c:strCache>
                <c:ptCount val="1"/>
                <c:pt idx="0">
                  <c:v>Forecast</c:v>
                </c:pt>
              </c:strCache>
            </c:strRef>
          </c:tx>
          <c:spPr>
            <a:ln w="25400" cap="rnd">
              <a:solidFill>
                <a:schemeClr val="accent2"/>
              </a:solidFill>
              <a:round/>
            </a:ln>
            <a:effectLst/>
          </c:spPr>
          <c:marker>
            <c:symbol val="none"/>
          </c:marker>
          <c:cat>
            <c:numRef>
              <c:f>'Rental fore'!$A$2:$A$19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'Rental fore'!$C$2:$C$19</c:f>
              <c:numCache>
                <c:formatCode>General</c:formatCode>
                <c:ptCount val="18"/>
                <c:pt idx="12">
                  <c:v>64</c:v>
                </c:pt>
                <c:pt idx="13">
                  <c:v>57.575001968756908</c:v>
                </c:pt>
                <c:pt idx="14">
                  <c:v>59.687724395690218</c:v>
                </c:pt>
                <c:pt idx="15">
                  <c:v>61.800446822623528</c:v>
                </c:pt>
                <c:pt idx="16">
                  <c:v>63.913169249556844</c:v>
                </c:pt>
                <c:pt idx="17">
                  <c:v>66.025891676490147</c:v>
                </c:pt>
              </c:numCache>
            </c:numRef>
          </c:val>
          <c:smooth val="0"/>
          <c:extLst>
            <c:ext xmlns:c16="http://schemas.microsoft.com/office/drawing/2014/chart" uri="{C3380CC4-5D6E-409C-BE32-E72D297353CC}">
              <c16:uniqueId val="{00000001-2326-4A85-9A77-08FBBF2A3014}"/>
            </c:ext>
          </c:extLst>
        </c:ser>
        <c:ser>
          <c:idx val="2"/>
          <c:order val="2"/>
          <c:tx>
            <c:strRef>
              <c:f>'Rental fore'!$D$1</c:f>
              <c:strCache>
                <c:ptCount val="1"/>
                <c:pt idx="0">
                  <c:v>Lower Confidence Bound</c:v>
                </c:pt>
              </c:strCache>
            </c:strRef>
          </c:tx>
          <c:spPr>
            <a:ln w="12700" cap="rnd">
              <a:solidFill>
                <a:srgbClr val="E97132"/>
              </a:solidFill>
              <a:prstDash val="solid"/>
              <a:round/>
            </a:ln>
            <a:effectLst/>
          </c:spPr>
          <c:marker>
            <c:symbol val="none"/>
          </c:marker>
          <c:cat>
            <c:numRef>
              <c:f>'Rental fore'!$A$2:$A$19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'Rental fore'!$D$2:$D$19</c:f>
              <c:numCache>
                <c:formatCode>General</c:formatCode>
                <c:ptCount val="18"/>
                <c:pt idx="12" formatCode="0.00">
                  <c:v>64</c:v>
                </c:pt>
                <c:pt idx="13" formatCode="0.00">
                  <c:v>49.782665371719077</c:v>
                </c:pt>
                <c:pt idx="14" formatCode="0.00">
                  <c:v>51.895352733216598</c:v>
                </c:pt>
                <c:pt idx="15" formatCode="0.00">
                  <c:v>54.008012821987002</c:v>
                </c:pt>
                <c:pt idx="16" formatCode="0.00">
                  <c:v>56.120637846539132</c:v>
                </c:pt>
                <c:pt idx="17" formatCode="0.00">
                  <c:v>58.233220016182351</c:v>
                </c:pt>
              </c:numCache>
            </c:numRef>
          </c:val>
          <c:smooth val="0"/>
          <c:extLst>
            <c:ext xmlns:c16="http://schemas.microsoft.com/office/drawing/2014/chart" uri="{C3380CC4-5D6E-409C-BE32-E72D297353CC}">
              <c16:uniqueId val="{00000002-2326-4A85-9A77-08FBBF2A3014}"/>
            </c:ext>
          </c:extLst>
        </c:ser>
        <c:ser>
          <c:idx val="3"/>
          <c:order val="3"/>
          <c:tx>
            <c:strRef>
              <c:f>'Rental fore'!$E$1</c:f>
              <c:strCache>
                <c:ptCount val="1"/>
                <c:pt idx="0">
                  <c:v>Upper Confidence Bound</c:v>
                </c:pt>
              </c:strCache>
            </c:strRef>
          </c:tx>
          <c:spPr>
            <a:ln w="12700" cap="rnd">
              <a:solidFill>
                <a:srgbClr val="E97132"/>
              </a:solidFill>
              <a:prstDash val="solid"/>
              <a:round/>
            </a:ln>
            <a:effectLst/>
          </c:spPr>
          <c:marker>
            <c:symbol val="none"/>
          </c:marker>
          <c:cat>
            <c:numRef>
              <c:f>'Rental fore'!$A$2:$A$19</c:f>
              <c:numCache>
                <c:formatCode>General</c:formatCode>
                <c:ptCount val="18"/>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pt idx="13">
                  <c:v>2025</c:v>
                </c:pt>
                <c:pt idx="14">
                  <c:v>2026</c:v>
                </c:pt>
                <c:pt idx="15">
                  <c:v>2027</c:v>
                </c:pt>
                <c:pt idx="16">
                  <c:v>2028</c:v>
                </c:pt>
                <c:pt idx="17">
                  <c:v>2029</c:v>
                </c:pt>
              </c:numCache>
            </c:numRef>
          </c:cat>
          <c:val>
            <c:numRef>
              <c:f>'Rental fore'!$E$2:$E$19</c:f>
              <c:numCache>
                <c:formatCode>General</c:formatCode>
                <c:ptCount val="18"/>
                <c:pt idx="12" formatCode="0.00">
                  <c:v>64</c:v>
                </c:pt>
                <c:pt idx="13" formatCode="0.00">
                  <c:v>65.367338565794739</c:v>
                </c:pt>
                <c:pt idx="14" formatCode="0.00">
                  <c:v>67.480096058163838</c:v>
                </c:pt>
                <c:pt idx="15" formatCode="0.00">
                  <c:v>69.592880823260046</c:v>
                </c:pt>
                <c:pt idx="16" formatCode="0.00">
                  <c:v>71.705700652574563</c:v>
                </c:pt>
                <c:pt idx="17" formatCode="0.00">
                  <c:v>73.818563336797951</c:v>
                </c:pt>
              </c:numCache>
            </c:numRef>
          </c:val>
          <c:smooth val="0"/>
          <c:extLst>
            <c:ext xmlns:c16="http://schemas.microsoft.com/office/drawing/2014/chart" uri="{C3380CC4-5D6E-409C-BE32-E72D297353CC}">
              <c16:uniqueId val="{00000003-2326-4A85-9A77-08FBBF2A3014}"/>
            </c:ext>
          </c:extLst>
        </c:ser>
        <c:dLbls>
          <c:showLegendKey val="0"/>
          <c:showVal val="0"/>
          <c:showCatName val="0"/>
          <c:showSerName val="0"/>
          <c:showPercent val="0"/>
          <c:showBubbleSize val="0"/>
        </c:dLbls>
        <c:smooth val="0"/>
        <c:axId val="1614613152"/>
        <c:axId val="1614615072"/>
      </c:lineChart>
      <c:catAx>
        <c:axId val="1614613152"/>
        <c:scaling>
          <c:orientation val="minMax"/>
        </c:scaling>
        <c:delete val="0"/>
        <c:axPos val="b"/>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615072"/>
        <c:crosses val="autoZero"/>
        <c:auto val="1"/>
        <c:lblAlgn val="ctr"/>
        <c:lblOffset val="100"/>
        <c:noMultiLvlLbl val="0"/>
      </c:catAx>
      <c:valAx>
        <c:axId val="16146150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6131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'Marine fore'!$B$1</c:f>
              <c:strCache>
                <c:ptCount val="1"/>
                <c:pt idx="0">
                  <c:v>Values</c:v>
                </c:pt>
              </c:strCache>
            </c:strRef>
          </c:tx>
          <c:spPr>
            <a:ln w="28575" cap="rnd">
              <a:solidFill>
                <a:schemeClr val="accent1"/>
              </a:solidFill>
              <a:round/>
            </a:ln>
            <a:effectLst/>
          </c:spPr>
          <c:marker>
            <c:symbol val="none"/>
          </c:marker>
          <c:val>
            <c:numRef>
              <c:f>'Marine fore'!$B$2:$B$14</c:f>
              <c:numCache>
                <c:formatCode>General</c:formatCode>
                <c:ptCount val="13"/>
                <c:pt idx="0">
                  <c:v>77</c:v>
                </c:pt>
                <c:pt idx="1">
                  <c:v>82</c:v>
                </c:pt>
                <c:pt idx="2">
                  <c:v>84</c:v>
                </c:pt>
                <c:pt idx="3">
                  <c:v>78.12</c:v>
                </c:pt>
                <c:pt idx="4">
                  <c:v>77.25</c:v>
                </c:pt>
                <c:pt idx="5">
                  <c:v>83.23</c:v>
                </c:pt>
                <c:pt idx="6">
                  <c:v>76.31</c:v>
                </c:pt>
                <c:pt idx="7">
                  <c:v>91.01</c:v>
                </c:pt>
                <c:pt idx="8">
                  <c:v>85</c:v>
                </c:pt>
              </c:numCache>
            </c:numRef>
          </c:val>
          <c:smooth val="0"/>
          <c:extLst>
            <c:ext xmlns:c16="http://schemas.microsoft.com/office/drawing/2014/chart" uri="{C3380CC4-5D6E-409C-BE32-E72D297353CC}">
              <c16:uniqueId val="{00000000-9EBB-4E81-9042-5B08EE1636C3}"/>
            </c:ext>
          </c:extLst>
        </c:ser>
        <c:ser>
          <c:idx val="1"/>
          <c:order val="1"/>
          <c:tx>
            <c:strRef>
              <c:f>'Marine fore'!$C$1</c:f>
              <c:strCache>
                <c:ptCount val="1"/>
                <c:pt idx="0">
                  <c:v>Forecast</c:v>
                </c:pt>
              </c:strCache>
            </c:strRef>
          </c:tx>
          <c:spPr>
            <a:ln w="25400" cap="rnd">
              <a:solidFill>
                <a:schemeClr val="accent2"/>
              </a:solidFill>
              <a:round/>
            </a:ln>
            <a:effectLst/>
          </c:spPr>
          <c:marker>
            <c:symbol val="none"/>
          </c:marker>
          <c:cat>
            <c:numRef>
              <c:f>'Marine fore'!$A$2:$A$14</c:f>
              <c:numCache>
                <c:formatCode>General</c:formatCode>
                <c:ptCount val="13"/>
                <c:pt idx="0">
                  <c:v>1</c:v>
                </c:pt>
                <c:pt idx="1">
                  <c:v>2</c:v>
                </c:pt>
                <c:pt idx="2">
                  <c:v>3</c:v>
                </c:pt>
                <c:pt idx="3">
                  <c:v>4</c:v>
                </c:pt>
                <c:pt idx="4">
                  <c:v>5</c:v>
                </c:pt>
                <c:pt idx="5">
                  <c:v>6</c:v>
                </c:pt>
                <c:pt idx="6">
                  <c:v>7</c:v>
                </c:pt>
                <c:pt idx="7">
                  <c:v>8</c:v>
                </c:pt>
                <c:pt idx="8">
                  <c:v>9</c:v>
                </c:pt>
                <c:pt idx="9">
                  <c:v>10</c:v>
                </c:pt>
                <c:pt idx="10">
                  <c:v>11</c:v>
                </c:pt>
                <c:pt idx="11">
                  <c:v>12</c:v>
                </c:pt>
                <c:pt idx="12">
                  <c:v>13</c:v>
                </c:pt>
              </c:numCache>
            </c:numRef>
          </c:cat>
          <c:val>
            <c:numRef>
              <c:f>'Marine fore'!$C$2:$C$14</c:f>
              <c:numCache>
                <c:formatCode>General</c:formatCode>
                <c:ptCount val="13"/>
                <c:pt idx="8">
                  <c:v>85</c:v>
                </c:pt>
                <c:pt idx="9">
                  <c:v>84.394179238322437</c:v>
                </c:pt>
                <c:pt idx="10">
                  <c:v>85.218234468330238</c:v>
                </c:pt>
                <c:pt idx="11">
                  <c:v>86.042289698338038</c:v>
                </c:pt>
                <c:pt idx="12">
                  <c:v>86.866344928345839</c:v>
                </c:pt>
              </c:numCache>
            </c:numRef>
          </c:val>
          <c:smooth val="0"/>
          <c:extLst>
            <c:ext xmlns:c16="http://schemas.microsoft.com/office/drawing/2014/chart" uri="{C3380CC4-5D6E-409C-BE32-E72D297353CC}">
              <c16:uniqueId val="{00000001-9EBB-4E81-9042-5B08EE1636C3}"/>
            </c:ext>
          </c:extLst>
        </c:ser>
        <c:ser>
          <c:idx val="2"/>
          <c:order val="2"/>
          <c:tx>
            <c:strRef>
              <c:f>'Marine fore'!$D$1</c:f>
              <c:strCache>
                <c:ptCount val="1"/>
                <c:pt idx="0">
                  <c:v>Lower Confidence Bound</c:v>
                </c:pt>
              </c:strCache>
            </c:strRef>
          </c:tx>
          <c:spPr>
            <a:ln w="12700" cap="rnd">
              <a:solidFill>
                <a:srgbClr val="E97132"/>
              </a:solidFill>
              <a:prstDash val="solid"/>
              <a:round/>
            </a:ln>
            <a:effectLst/>
          </c:spPr>
          <c:marker>
            <c:symbol val="none"/>
          </c:marker>
          <c:cat>
            <c:numRef>
              <c:f>'Marine fore'!$A$2:$A$14</c:f>
              <c:numCache>
                <c:formatCode>General</c:formatCode>
                <c:ptCount val="13"/>
                <c:pt idx="0">
                  <c:v>1</c:v>
                </c:pt>
                <c:pt idx="1">
                  <c:v>2</c:v>
                </c:pt>
                <c:pt idx="2">
                  <c:v>3</c:v>
                </c:pt>
                <c:pt idx="3">
                  <c:v>4</c:v>
                </c:pt>
                <c:pt idx="4">
                  <c:v>5</c:v>
                </c:pt>
                <c:pt idx="5">
                  <c:v>6</c:v>
                </c:pt>
                <c:pt idx="6">
                  <c:v>7</c:v>
                </c:pt>
                <c:pt idx="7">
                  <c:v>8</c:v>
                </c:pt>
                <c:pt idx="8">
                  <c:v>9</c:v>
                </c:pt>
                <c:pt idx="9">
                  <c:v>10</c:v>
                </c:pt>
                <c:pt idx="10">
                  <c:v>11</c:v>
                </c:pt>
                <c:pt idx="11">
                  <c:v>12</c:v>
                </c:pt>
                <c:pt idx="12">
                  <c:v>13</c:v>
                </c:pt>
              </c:numCache>
            </c:numRef>
          </c:cat>
          <c:val>
            <c:numRef>
              <c:f>'Marine fore'!$D$2:$D$14</c:f>
              <c:numCache>
                <c:formatCode>General</c:formatCode>
                <c:ptCount val="13"/>
                <c:pt idx="8" formatCode="0.00">
                  <c:v>85</c:v>
                </c:pt>
                <c:pt idx="9" formatCode="0.00">
                  <c:v>76.026288629568683</c:v>
                </c:pt>
                <c:pt idx="10" formatCode="0.00">
                  <c:v>76.850306204153469</c:v>
                </c:pt>
                <c:pt idx="11" formatCode="0.00">
                  <c:v>77.674294491605409</c:v>
                </c:pt>
                <c:pt idx="12" formatCode="0.00">
                  <c:v>78.498245124941761</c:v>
                </c:pt>
              </c:numCache>
            </c:numRef>
          </c:val>
          <c:smooth val="0"/>
          <c:extLst>
            <c:ext xmlns:c16="http://schemas.microsoft.com/office/drawing/2014/chart" uri="{C3380CC4-5D6E-409C-BE32-E72D297353CC}">
              <c16:uniqueId val="{00000002-9EBB-4E81-9042-5B08EE1636C3}"/>
            </c:ext>
          </c:extLst>
        </c:ser>
        <c:ser>
          <c:idx val="3"/>
          <c:order val="3"/>
          <c:tx>
            <c:strRef>
              <c:f>'Marine fore'!$E$1</c:f>
              <c:strCache>
                <c:ptCount val="1"/>
                <c:pt idx="0">
                  <c:v>Upper Confidence Bound</c:v>
                </c:pt>
              </c:strCache>
            </c:strRef>
          </c:tx>
          <c:spPr>
            <a:ln w="12700" cap="rnd">
              <a:solidFill>
                <a:srgbClr val="E97132"/>
              </a:solidFill>
              <a:prstDash val="solid"/>
              <a:round/>
            </a:ln>
            <a:effectLst/>
          </c:spPr>
          <c:marker>
            <c:symbol val="none"/>
          </c:marker>
          <c:cat>
            <c:numRef>
              <c:f>'Marine fore'!$A$2:$A$14</c:f>
              <c:numCache>
                <c:formatCode>General</c:formatCode>
                <c:ptCount val="13"/>
                <c:pt idx="0">
                  <c:v>1</c:v>
                </c:pt>
                <c:pt idx="1">
                  <c:v>2</c:v>
                </c:pt>
                <c:pt idx="2">
                  <c:v>3</c:v>
                </c:pt>
                <c:pt idx="3">
                  <c:v>4</c:v>
                </c:pt>
                <c:pt idx="4">
                  <c:v>5</c:v>
                </c:pt>
                <c:pt idx="5">
                  <c:v>6</c:v>
                </c:pt>
                <c:pt idx="6">
                  <c:v>7</c:v>
                </c:pt>
                <c:pt idx="7">
                  <c:v>8</c:v>
                </c:pt>
                <c:pt idx="8">
                  <c:v>9</c:v>
                </c:pt>
                <c:pt idx="9">
                  <c:v>10</c:v>
                </c:pt>
                <c:pt idx="10">
                  <c:v>11</c:v>
                </c:pt>
                <c:pt idx="11">
                  <c:v>12</c:v>
                </c:pt>
                <c:pt idx="12">
                  <c:v>13</c:v>
                </c:pt>
              </c:numCache>
            </c:numRef>
          </c:cat>
          <c:val>
            <c:numRef>
              <c:f>'Marine fore'!$E$2:$E$14</c:f>
              <c:numCache>
                <c:formatCode>General</c:formatCode>
                <c:ptCount val="13"/>
                <c:pt idx="8" formatCode="0.00">
                  <c:v>85</c:v>
                </c:pt>
                <c:pt idx="9" formatCode="0.00">
                  <c:v>92.762069847076191</c:v>
                </c:pt>
                <c:pt idx="10" formatCode="0.00">
                  <c:v>93.586162732507006</c:v>
                </c:pt>
                <c:pt idx="11" formatCode="0.00">
                  <c:v>94.410284905070668</c:v>
                </c:pt>
                <c:pt idx="12" formatCode="0.00">
                  <c:v>95.234444731749917</c:v>
                </c:pt>
              </c:numCache>
            </c:numRef>
          </c:val>
          <c:smooth val="0"/>
          <c:extLst>
            <c:ext xmlns:c16="http://schemas.microsoft.com/office/drawing/2014/chart" uri="{C3380CC4-5D6E-409C-BE32-E72D297353CC}">
              <c16:uniqueId val="{00000003-9EBB-4E81-9042-5B08EE1636C3}"/>
            </c:ext>
          </c:extLst>
        </c:ser>
        <c:dLbls>
          <c:showLegendKey val="0"/>
          <c:showVal val="0"/>
          <c:showCatName val="0"/>
          <c:showSerName val="0"/>
          <c:showPercent val="0"/>
          <c:showBubbleSize val="0"/>
        </c:dLbls>
        <c:smooth val="0"/>
        <c:axId val="1027479824"/>
        <c:axId val="1027480304"/>
      </c:lineChart>
      <c:catAx>
        <c:axId val="1027479824"/>
        <c:scaling>
          <c:orientation val="minMax"/>
        </c:scaling>
        <c:delete val="0"/>
        <c:axPos val="b"/>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7480304"/>
        <c:crosses val="autoZero"/>
        <c:auto val="1"/>
        <c:lblAlgn val="ctr"/>
        <c:lblOffset val="100"/>
        <c:noMultiLvlLbl val="0"/>
      </c:catAx>
      <c:valAx>
        <c:axId val="1027480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74798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600" b="1" i="0" u="none" strike="noStrike" kern="1200" spc="100" baseline="0">
                <a:solidFill>
                  <a:sysClr val="windowText" lastClr="000000"/>
                </a:solidFill>
                <a:effectLst>
                  <a:outerShdw blurRad="50800" dist="38100" dir="5400000" algn="t" rotWithShape="0">
                    <a:prstClr val="black">
                      <a:alpha val="40000"/>
                    </a:prstClr>
                  </a:outerShdw>
                </a:effectLst>
                <a:latin typeface="+mn-lt"/>
                <a:ea typeface="+mn-ea"/>
                <a:cs typeface="+mn-cs"/>
              </a:defRPr>
            </a:pPr>
            <a:r>
              <a:rPr lang="en-US">
                <a:solidFill>
                  <a:sysClr val="windowText" lastClr="000000"/>
                </a:solidFill>
              </a:rPr>
              <a:t>Transhipment vs.</a:t>
            </a:r>
            <a:r>
              <a:rPr lang="en-US" baseline="0">
                <a:solidFill>
                  <a:sysClr val="windowText" lastClr="000000"/>
                </a:solidFill>
              </a:rPr>
              <a:t> Gateway Mix Ratio</a:t>
            </a:r>
            <a:endParaRPr lang="en-US">
              <a:solidFill>
                <a:sysClr val="windowText" lastClr="000000"/>
              </a:solidFill>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ysClr val="windowText" lastClr="000000"/>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percentStacked"/>
        <c:varyColors val="0"/>
        <c:ser>
          <c:idx val="0"/>
          <c:order val="0"/>
          <c:tx>
            <c:v>Transhipment</c:v>
          </c:tx>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IS!$Q$1:$AM$1</c:f>
              <c:strCache>
                <c:ptCount val="23"/>
                <c:pt idx="0">
                  <c:v>Q1 2019</c:v>
                </c:pt>
                <c:pt idx="1">
                  <c:v>Q2 2019</c:v>
                </c:pt>
                <c:pt idx="2">
                  <c:v>Q3 2019</c:v>
                </c:pt>
                <c:pt idx="3">
                  <c:v>Q4 2019</c:v>
                </c:pt>
                <c:pt idx="4">
                  <c:v>Q1 2020</c:v>
                </c:pt>
                <c:pt idx="5">
                  <c:v>Q2 2020</c:v>
                </c:pt>
                <c:pt idx="6">
                  <c:v>Q3 2020</c:v>
                </c:pt>
                <c:pt idx="7">
                  <c:v>Q4 2020</c:v>
                </c:pt>
                <c:pt idx="8">
                  <c:v>Q1 2021</c:v>
                </c:pt>
                <c:pt idx="9">
                  <c:v>Q2 2021</c:v>
                </c:pt>
                <c:pt idx="10">
                  <c:v>Q3 2021</c:v>
                </c:pt>
                <c:pt idx="11">
                  <c:v>Q4 2021</c:v>
                </c:pt>
                <c:pt idx="12">
                  <c:v>Q1 2022</c:v>
                </c:pt>
                <c:pt idx="13">
                  <c:v>Q2 2022</c:v>
                </c:pt>
                <c:pt idx="14">
                  <c:v>Q3 2022</c:v>
                </c:pt>
                <c:pt idx="15">
                  <c:v>Q4 2022</c:v>
                </c:pt>
                <c:pt idx="16">
                  <c:v>Q1 2023</c:v>
                </c:pt>
                <c:pt idx="17">
                  <c:v>Q2 2023</c:v>
                </c:pt>
                <c:pt idx="18">
                  <c:v>Q3 2023</c:v>
                </c:pt>
                <c:pt idx="19">
                  <c:v>Q4 2023</c:v>
                </c:pt>
                <c:pt idx="20">
                  <c:v>Q1 2024</c:v>
                </c:pt>
                <c:pt idx="21">
                  <c:v>Q2 2024</c:v>
                </c:pt>
                <c:pt idx="22">
                  <c:v>Q3 2024</c:v>
                </c:pt>
              </c:strCache>
            </c:strRef>
          </c:cat>
          <c:val>
            <c:numRef>
              <c:f>IS!$Q$49:$AM$49</c:f>
              <c:numCache>
                <c:formatCode>0%</c:formatCode>
                <c:ptCount val="23"/>
                <c:pt idx="0">
                  <c:v>0.67588932806324109</c:v>
                </c:pt>
                <c:pt idx="1">
                  <c:v>0.66788321167883213</c:v>
                </c:pt>
                <c:pt idx="2">
                  <c:v>0.66787003610108309</c:v>
                </c:pt>
                <c:pt idx="3">
                  <c:v>0.65248226950354615</c:v>
                </c:pt>
                <c:pt idx="4">
                  <c:v>0.62698412698412698</c:v>
                </c:pt>
                <c:pt idx="5">
                  <c:v>0.64035087719298245</c:v>
                </c:pt>
                <c:pt idx="6">
                  <c:v>0.65187713310580198</c:v>
                </c:pt>
                <c:pt idx="7">
                  <c:v>0.64981949458483756</c:v>
                </c:pt>
                <c:pt idx="8">
                  <c:v>0.63533834586466165</c:v>
                </c:pt>
                <c:pt idx="9">
                  <c:v>0.64150943396226412</c:v>
                </c:pt>
                <c:pt idx="10">
                  <c:v>0.68060836501901145</c:v>
                </c:pt>
                <c:pt idx="11">
                  <c:v>0.63562753036437247</c:v>
                </c:pt>
                <c:pt idx="12">
                  <c:v>0.59414225941422583</c:v>
                </c:pt>
                <c:pt idx="13">
                  <c:v>0.6224899598393574</c:v>
                </c:pt>
                <c:pt idx="14">
                  <c:v>0.59845559845559848</c:v>
                </c:pt>
                <c:pt idx="15">
                  <c:v>0.60465116279069764</c:v>
                </c:pt>
                <c:pt idx="16">
                  <c:v>0.59607843137254912</c:v>
                </c:pt>
                <c:pt idx="17">
                  <c:v>0.58518518518518514</c:v>
                </c:pt>
                <c:pt idx="18">
                  <c:v>0.58122743682310474</c:v>
                </c:pt>
                <c:pt idx="19">
                  <c:v>0.5714285714285714</c:v>
                </c:pt>
                <c:pt idx="20">
                  <c:v>0.55430711610486894</c:v>
                </c:pt>
                <c:pt idx="21">
                  <c:v>0.56043956043956045</c:v>
                </c:pt>
                <c:pt idx="22">
                  <c:v>0.53703703703703698</c:v>
                </c:pt>
              </c:numCache>
            </c:numRef>
          </c:val>
          <c:extLst>
            <c:ext xmlns:c16="http://schemas.microsoft.com/office/drawing/2014/chart" uri="{C3380CC4-5D6E-409C-BE32-E72D297353CC}">
              <c16:uniqueId val="{00000000-B4AE-420A-97B3-4EBEF0DEED69}"/>
            </c:ext>
          </c:extLst>
        </c:ser>
        <c:ser>
          <c:idx val="1"/>
          <c:order val="1"/>
          <c:tx>
            <c:v>Gateway</c:v>
          </c:tx>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IS!$Q$1:$AM$1</c:f>
              <c:strCache>
                <c:ptCount val="23"/>
                <c:pt idx="0">
                  <c:v>Q1 2019</c:v>
                </c:pt>
                <c:pt idx="1">
                  <c:v>Q2 2019</c:v>
                </c:pt>
                <c:pt idx="2">
                  <c:v>Q3 2019</c:v>
                </c:pt>
                <c:pt idx="3">
                  <c:v>Q4 2019</c:v>
                </c:pt>
                <c:pt idx="4">
                  <c:v>Q1 2020</c:v>
                </c:pt>
                <c:pt idx="5">
                  <c:v>Q2 2020</c:v>
                </c:pt>
                <c:pt idx="6">
                  <c:v>Q3 2020</c:v>
                </c:pt>
                <c:pt idx="7">
                  <c:v>Q4 2020</c:v>
                </c:pt>
                <c:pt idx="8">
                  <c:v>Q1 2021</c:v>
                </c:pt>
                <c:pt idx="9">
                  <c:v>Q2 2021</c:v>
                </c:pt>
                <c:pt idx="10">
                  <c:v>Q3 2021</c:v>
                </c:pt>
                <c:pt idx="11">
                  <c:v>Q4 2021</c:v>
                </c:pt>
                <c:pt idx="12">
                  <c:v>Q1 2022</c:v>
                </c:pt>
                <c:pt idx="13">
                  <c:v>Q2 2022</c:v>
                </c:pt>
                <c:pt idx="14">
                  <c:v>Q3 2022</c:v>
                </c:pt>
                <c:pt idx="15">
                  <c:v>Q4 2022</c:v>
                </c:pt>
                <c:pt idx="16">
                  <c:v>Q1 2023</c:v>
                </c:pt>
                <c:pt idx="17">
                  <c:v>Q2 2023</c:v>
                </c:pt>
                <c:pt idx="18">
                  <c:v>Q3 2023</c:v>
                </c:pt>
                <c:pt idx="19">
                  <c:v>Q4 2023</c:v>
                </c:pt>
                <c:pt idx="20">
                  <c:v>Q1 2024</c:v>
                </c:pt>
                <c:pt idx="21">
                  <c:v>Q2 2024</c:v>
                </c:pt>
                <c:pt idx="22">
                  <c:v>Q3 2024</c:v>
                </c:pt>
              </c:strCache>
            </c:strRef>
          </c:cat>
          <c:val>
            <c:numRef>
              <c:f>IS!$Q$50:$AM$50</c:f>
              <c:numCache>
                <c:formatCode>0%</c:formatCode>
                <c:ptCount val="23"/>
                <c:pt idx="0">
                  <c:v>0.32411067193675891</c:v>
                </c:pt>
                <c:pt idx="1">
                  <c:v>0.32846715328467152</c:v>
                </c:pt>
                <c:pt idx="2">
                  <c:v>0.33212996389891697</c:v>
                </c:pt>
                <c:pt idx="3">
                  <c:v>0.3475177304964539</c:v>
                </c:pt>
                <c:pt idx="4">
                  <c:v>0.37301587301587297</c:v>
                </c:pt>
                <c:pt idx="5">
                  <c:v>0.35964912280701755</c:v>
                </c:pt>
                <c:pt idx="6">
                  <c:v>0.35153583617747441</c:v>
                </c:pt>
                <c:pt idx="7">
                  <c:v>0.35018050541516244</c:v>
                </c:pt>
                <c:pt idx="8">
                  <c:v>0.3646616541353383</c:v>
                </c:pt>
                <c:pt idx="9">
                  <c:v>0.35849056603773582</c:v>
                </c:pt>
                <c:pt idx="10">
                  <c:v>0.3193916349809886</c:v>
                </c:pt>
                <c:pt idx="11">
                  <c:v>0.36032388663967607</c:v>
                </c:pt>
                <c:pt idx="12">
                  <c:v>0.40585774058577401</c:v>
                </c:pt>
                <c:pt idx="13">
                  <c:v>0.37751004016064249</c:v>
                </c:pt>
                <c:pt idx="14">
                  <c:v>0.40154440154440157</c:v>
                </c:pt>
                <c:pt idx="15">
                  <c:v>0.39534883720930231</c:v>
                </c:pt>
                <c:pt idx="16">
                  <c:v>0.40392156862745104</c:v>
                </c:pt>
                <c:pt idx="17">
                  <c:v>0.4148148148148148</c:v>
                </c:pt>
                <c:pt idx="18">
                  <c:v>0.41516245487364617</c:v>
                </c:pt>
                <c:pt idx="19">
                  <c:v>0.42857142857142855</c:v>
                </c:pt>
                <c:pt idx="20">
                  <c:v>0.449438202247191</c:v>
                </c:pt>
                <c:pt idx="21">
                  <c:v>0.4358974358974359</c:v>
                </c:pt>
                <c:pt idx="22">
                  <c:v>0.46296296296296291</c:v>
                </c:pt>
              </c:numCache>
            </c:numRef>
          </c:val>
          <c:extLst>
            <c:ext xmlns:c16="http://schemas.microsoft.com/office/drawing/2014/chart" uri="{C3380CC4-5D6E-409C-BE32-E72D297353CC}">
              <c16:uniqueId val="{00000001-B4AE-420A-97B3-4EBEF0DEED69}"/>
            </c:ext>
          </c:extLst>
        </c:ser>
        <c:dLbls>
          <c:showLegendKey val="0"/>
          <c:showVal val="0"/>
          <c:showCatName val="0"/>
          <c:showSerName val="0"/>
          <c:showPercent val="0"/>
          <c:showBubbleSize val="0"/>
        </c:dLbls>
        <c:gapWidth val="40"/>
        <c:overlap val="100"/>
        <c:axId val="1506835519"/>
        <c:axId val="1506841759"/>
      </c:barChart>
      <c:catAx>
        <c:axId val="150683551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506841759"/>
        <c:crosses val="autoZero"/>
        <c:auto val="1"/>
        <c:lblAlgn val="ctr"/>
        <c:lblOffset val="100"/>
        <c:noMultiLvlLbl val="0"/>
      </c:catAx>
      <c:valAx>
        <c:axId val="1506841759"/>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5068355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0.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11.xml.rels><?xml version="1.0" encoding="UTF-8" standalone="yes"?>
<Relationships xmlns="http://schemas.openxmlformats.org/package/2006/relationships"><Relationship Id="rId1" Type="http://schemas.openxmlformats.org/officeDocument/2006/relationships/chart" Target="../charts/chart9.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0</xdr:col>
      <xdr:colOff>0</xdr:colOff>
      <xdr:row>9</xdr:row>
      <xdr:rowOff>19049</xdr:rowOff>
    </xdr:from>
    <xdr:ext cx="1417439" cy="173766"/>
    <mc:AlternateContent xmlns:mc="http://schemas.openxmlformats.org/markup-compatibility/2006">
      <mc:Choice xmlns:a14="http://schemas.microsoft.com/office/drawing/2010/main" Requires="a14">
        <xdr:sp macro="" textlink="">
          <xdr:nvSpPr>
            <xdr:cNvPr id="2" name="TextBox 1">
              <a:extLst>
                <a:ext uri="{FF2B5EF4-FFF2-40B4-BE49-F238E27FC236}">
                  <a16:creationId xmlns:a16="http://schemas.microsoft.com/office/drawing/2014/main" id="{17AB5BB6-5083-4B43-B204-4B69DCC45923}"/>
                </a:ext>
              </a:extLst>
            </xdr:cNvPr>
            <xdr:cNvSpPr txBox="1"/>
          </xdr:nvSpPr>
          <xdr:spPr>
            <a:xfrm>
              <a:off x="45839" y="7086599"/>
              <a:ext cx="14174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𝐸𝑞𝑢𝑎𝑡𝑖𝑜𝑛</m:t>
                    </m:r>
                    <m:r>
                      <a:rPr lang="en-US" sz="1100" b="0" i="1" kern="1200">
                        <a:latin typeface="Cambria Math" panose="02040503050406030204" pitchFamily="18" charset="0"/>
                      </a:rPr>
                      <m:t> 1: </m:t>
                    </m:r>
                    <m:r>
                      <a:rPr lang="en-US" sz="1100" b="0" i="1" kern="1200">
                        <a:latin typeface="Cambria Math" panose="02040503050406030204" pitchFamily="18" charset="0"/>
                      </a:rPr>
                      <m:t>𝑥</m:t>
                    </m:r>
                    <m:r>
                      <a:rPr lang="en-US" sz="1100" b="0" i="1" kern="1200">
                        <a:latin typeface="Cambria Math" panose="02040503050406030204" pitchFamily="18" charset="0"/>
                      </a:rPr>
                      <m:t>=0.61</m:t>
                    </m:r>
                    <m:r>
                      <a:rPr lang="en-US" sz="1100" b="0" i="1" kern="1200">
                        <a:latin typeface="Cambria Math" panose="02040503050406030204" pitchFamily="18" charset="0"/>
                      </a:rPr>
                      <m:t>𝑦</m:t>
                    </m:r>
                  </m:oMath>
                </m:oMathPara>
              </a14:m>
              <a:endParaRPr lang="en-US" sz="1100" b="0" kern="1200"/>
            </a:p>
          </xdr:txBody>
        </xdr:sp>
      </mc:Choice>
      <mc:Fallback>
        <xdr:sp macro="" textlink="">
          <xdr:nvSpPr>
            <xdr:cNvPr id="2" name="TextBox 1">
              <a:extLst>
                <a:ext uri="{FF2B5EF4-FFF2-40B4-BE49-F238E27FC236}">
                  <a16:creationId xmlns:a16="http://schemas.microsoft.com/office/drawing/2014/main" id="{17AB5BB6-5083-4B43-B204-4B69DCC45923}"/>
                </a:ext>
              </a:extLst>
            </xdr:cNvPr>
            <xdr:cNvSpPr txBox="1"/>
          </xdr:nvSpPr>
          <xdr:spPr>
            <a:xfrm>
              <a:off x="45839" y="7086599"/>
              <a:ext cx="14174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kern="1200">
                  <a:latin typeface="Cambria Math" panose="02040503050406030204" pitchFamily="18" charset="0"/>
                </a:rPr>
                <a:t>𝐸𝑞𝑢𝑎𝑡𝑖𝑜𝑛 1: 𝑥=0.61𝑦</a:t>
              </a:r>
              <a:endParaRPr lang="en-US" sz="1100" b="0" kern="1200"/>
            </a:p>
          </xdr:txBody>
        </xdr:sp>
      </mc:Fallback>
    </mc:AlternateContent>
    <xdr:clientData/>
  </xdr:oneCellAnchor>
  <xdr:oneCellAnchor>
    <xdr:from>
      <xdr:col>0</xdr:col>
      <xdr:colOff>0</xdr:colOff>
      <xdr:row>10</xdr:row>
      <xdr:rowOff>42860</xdr:rowOff>
    </xdr:from>
    <xdr:ext cx="2286331" cy="321498"/>
    <mc:AlternateContent xmlns:mc="http://schemas.openxmlformats.org/markup-compatibility/2006">
      <mc:Choice xmlns:a14="http://schemas.microsoft.com/office/drawing/2010/main" Requires="a14">
        <xdr:sp macro="" textlink="">
          <xdr:nvSpPr>
            <xdr:cNvPr id="3" name="TextBox 2">
              <a:extLst>
                <a:ext uri="{FF2B5EF4-FFF2-40B4-BE49-F238E27FC236}">
                  <a16:creationId xmlns:a16="http://schemas.microsoft.com/office/drawing/2014/main" id="{A4311F84-AD0B-49E6-AA54-F70A67AD665C}"/>
                </a:ext>
              </a:extLst>
            </xdr:cNvPr>
            <xdr:cNvSpPr txBox="1"/>
          </xdr:nvSpPr>
          <xdr:spPr>
            <a:xfrm>
              <a:off x="35719" y="7291385"/>
              <a:ext cx="228633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𝐸𝑞𝑢𝑎𝑡𝑖𝑜𝑛</m:t>
                    </m:r>
                    <m:r>
                      <a:rPr lang="en-US" sz="1100" b="0" i="1" kern="1200">
                        <a:latin typeface="Cambria Math" panose="02040503050406030204" pitchFamily="18" charset="0"/>
                      </a:rPr>
                      <m:t> 2: </m:t>
                    </m:r>
                    <m:f>
                      <m:fPr>
                        <m:ctrlPr>
                          <a:rPr lang="en-US" sz="1100" b="0" i="1" kern="1200">
                            <a:latin typeface="Cambria Math" panose="02040503050406030204" pitchFamily="18" charset="0"/>
                          </a:rPr>
                        </m:ctrlPr>
                      </m:fPr>
                      <m:num>
                        <m:r>
                          <a:rPr lang="en-US" sz="1100" b="0" i="1" kern="1200">
                            <a:latin typeface="Cambria Math" panose="02040503050406030204" pitchFamily="18" charset="0"/>
                          </a:rPr>
                          <m:t>5.92</m:t>
                        </m:r>
                      </m:num>
                      <m:den>
                        <m:r>
                          <a:rPr lang="en-US" sz="1100" b="0" i="1" kern="1200">
                            <a:latin typeface="Cambria Math" panose="02040503050406030204" pitchFamily="18" charset="0"/>
                          </a:rPr>
                          <m:t>10.83</m:t>
                        </m:r>
                      </m:den>
                    </m:f>
                    <m:r>
                      <a:rPr lang="en-US" sz="1100" b="0" i="1" kern="1200">
                        <a:latin typeface="Cambria Math" panose="02040503050406030204" pitchFamily="18" charset="0"/>
                      </a:rPr>
                      <m:t>𝑥</m:t>
                    </m:r>
                    <m:r>
                      <a:rPr lang="en-US" sz="1100" b="0" i="1" kern="1200">
                        <a:latin typeface="Cambria Math" panose="02040503050406030204" pitchFamily="18" charset="0"/>
                      </a:rPr>
                      <m:t>+</m:t>
                    </m:r>
                    <m:f>
                      <m:fPr>
                        <m:ctrlPr>
                          <a:rPr lang="en-US" sz="1100" b="0" i="1" kern="1200">
                            <a:latin typeface="Cambria Math" panose="02040503050406030204" pitchFamily="18" charset="0"/>
                          </a:rPr>
                        </m:ctrlPr>
                      </m:fPr>
                      <m:num>
                        <m:r>
                          <a:rPr lang="en-US" sz="1100" b="0" i="1" kern="1200">
                            <a:latin typeface="Cambria Math" panose="02040503050406030204" pitchFamily="18" charset="0"/>
                          </a:rPr>
                          <m:t>4.91</m:t>
                        </m:r>
                      </m:num>
                      <m:den>
                        <m:r>
                          <a:rPr lang="en-US" sz="1100" b="0" i="1" kern="1200">
                            <a:latin typeface="Cambria Math" panose="02040503050406030204" pitchFamily="18" charset="0"/>
                          </a:rPr>
                          <m:t>10.83</m:t>
                        </m:r>
                      </m:den>
                    </m:f>
                    <m:r>
                      <a:rPr lang="en-US" sz="1100" b="0" i="1" kern="1200">
                        <a:latin typeface="Cambria Math" panose="02040503050406030204" pitchFamily="18" charset="0"/>
                      </a:rPr>
                      <m:t>𝑦</m:t>
                    </m:r>
                    <m:r>
                      <a:rPr lang="en-US" sz="1100" b="0" i="1" kern="1200">
                        <a:latin typeface="Cambria Math" panose="02040503050406030204" pitchFamily="18" charset="0"/>
                      </a:rPr>
                      <m:t>=177</m:t>
                    </m:r>
                  </m:oMath>
                </m:oMathPara>
              </a14:m>
              <a:endParaRPr lang="en-US" sz="1100" kern="1200"/>
            </a:p>
          </xdr:txBody>
        </xdr:sp>
      </mc:Choice>
      <mc:Fallback>
        <xdr:sp macro="" textlink="">
          <xdr:nvSpPr>
            <xdr:cNvPr id="3" name="TextBox 2">
              <a:extLst>
                <a:ext uri="{FF2B5EF4-FFF2-40B4-BE49-F238E27FC236}">
                  <a16:creationId xmlns:a16="http://schemas.microsoft.com/office/drawing/2014/main" id="{A4311F84-AD0B-49E6-AA54-F70A67AD665C}"/>
                </a:ext>
              </a:extLst>
            </xdr:cNvPr>
            <xdr:cNvSpPr txBox="1"/>
          </xdr:nvSpPr>
          <xdr:spPr>
            <a:xfrm>
              <a:off x="35719" y="7291385"/>
              <a:ext cx="228633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US" sz="1100" b="0" i="0" kern="1200">
                  <a:latin typeface="Cambria Math" panose="02040503050406030204" pitchFamily="18" charset="0"/>
                </a:rPr>
                <a:t>𝐸𝑞𝑢𝑎𝑡𝑖𝑜𝑛 2:  5.92/10.83 𝑥+4.91/10.83 𝑦=177</a:t>
              </a:r>
              <a:endParaRPr lang="en-US" sz="1100" kern="12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533399</xdr:colOff>
      <xdr:row>15</xdr:row>
      <xdr:rowOff>140816</xdr:rowOff>
    </xdr:to>
    <xdr:pic>
      <xdr:nvPicPr>
        <xdr:cNvPr id="2" name="Picture 1">
          <a:extLst>
            <a:ext uri="{FF2B5EF4-FFF2-40B4-BE49-F238E27FC236}">
              <a16:creationId xmlns:a16="http://schemas.microsoft.com/office/drawing/2014/main" id="{830D5E75-2679-4B6F-C9DC-43D5E195DA61}"/>
            </a:ext>
          </a:extLst>
        </xdr:cNvPr>
        <xdr:cNvPicPr>
          <a:picLocks noChangeAspect="1"/>
        </xdr:cNvPicPr>
      </xdr:nvPicPr>
      <xdr:blipFill>
        <a:blip xmlns:r="http://schemas.openxmlformats.org/officeDocument/2006/relationships" r:embed="rId1"/>
        <a:stretch>
          <a:fillRect/>
        </a:stretch>
      </xdr:blipFill>
      <xdr:spPr>
        <a:xfrm>
          <a:off x="0" y="0"/>
          <a:ext cx="5057775" cy="2896263"/>
        </a:xfrm>
        <a:prstGeom prst="rect">
          <a:avLst/>
        </a:prstGeom>
      </xdr:spPr>
    </xdr:pic>
    <xdr:clientData/>
  </xdr:twoCellAnchor>
  <xdr:twoCellAnchor editAs="oneCell">
    <xdr:from>
      <xdr:col>0</xdr:col>
      <xdr:colOff>0</xdr:colOff>
      <xdr:row>15</xdr:row>
      <xdr:rowOff>129267</xdr:rowOff>
    </xdr:from>
    <xdr:to>
      <xdr:col>9</xdr:col>
      <xdr:colOff>17024</xdr:colOff>
      <xdr:row>31</xdr:row>
      <xdr:rowOff>93209</xdr:rowOff>
    </xdr:to>
    <xdr:pic>
      <xdr:nvPicPr>
        <xdr:cNvPr id="3" name="Picture 2">
          <a:extLst>
            <a:ext uri="{FF2B5EF4-FFF2-40B4-BE49-F238E27FC236}">
              <a16:creationId xmlns:a16="http://schemas.microsoft.com/office/drawing/2014/main" id="{1CF091F2-2736-3E64-7F68-C91646670518}"/>
            </a:ext>
          </a:extLst>
        </xdr:cNvPr>
        <xdr:cNvPicPr>
          <a:picLocks noChangeAspect="1"/>
        </xdr:cNvPicPr>
      </xdr:nvPicPr>
      <xdr:blipFill>
        <a:blip xmlns:r="http://schemas.openxmlformats.org/officeDocument/2006/relationships" r:embed="rId2"/>
        <a:stretch>
          <a:fillRect/>
        </a:stretch>
      </xdr:blipFill>
      <xdr:spPr>
        <a:xfrm>
          <a:off x="0" y="2884714"/>
          <a:ext cx="5834078" cy="2903085"/>
        </a:xfrm>
        <a:prstGeom prst="rect">
          <a:avLst/>
        </a:prstGeom>
      </xdr:spPr>
    </xdr:pic>
    <xdr:clientData/>
  </xdr:twoCellAnchor>
  <xdr:twoCellAnchor editAs="oneCell">
    <xdr:from>
      <xdr:col>0</xdr:col>
      <xdr:colOff>0</xdr:colOff>
      <xdr:row>31</xdr:row>
      <xdr:rowOff>98050</xdr:rowOff>
    </xdr:from>
    <xdr:to>
      <xdr:col>8</xdr:col>
      <xdr:colOff>515972</xdr:colOff>
      <xdr:row>45</xdr:row>
      <xdr:rowOff>81641</xdr:rowOff>
    </xdr:to>
    <xdr:pic>
      <xdr:nvPicPr>
        <xdr:cNvPr id="4" name="Picture 3">
          <a:extLst>
            <a:ext uri="{FF2B5EF4-FFF2-40B4-BE49-F238E27FC236}">
              <a16:creationId xmlns:a16="http://schemas.microsoft.com/office/drawing/2014/main" id="{FC85988D-B556-EEFF-5200-9531B07B9C45}"/>
            </a:ext>
          </a:extLst>
        </xdr:cNvPr>
        <xdr:cNvPicPr>
          <a:picLocks noChangeAspect="1"/>
        </xdr:cNvPicPr>
      </xdr:nvPicPr>
      <xdr:blipFill>
        <a:blip xmlns:r="http://schemas.openxmlformats.org/officeDocument/2006/relationships" r:embed="rId3"/>
        <a:stretch>
          <a:fillRect/>
        </a:stretch>
      </xdr:blipFill>
      <xdr:spPr>
        <a:xfrm>
          <a:off x="0" y="5792640"/>
          <a:ext cx="5686686" cy="2555341"/>
        </a:xfrm>
        <a:prstGeom prst="rect">
          <a:avLst/>
        </a:prstGeom>
      </xdr:spPr>
    </xdr:pic>
    <xdr:clientData/>
  </xdr:twoCellAnchor>
  <xdr:twoCellAnchor editAs="oneCell">
    <xdr:from>
      <xdr:col>0</xdr:col>
      <xdr:colOff>0</xdr:colOff>
      <xdr:row>45</xdr:row>
      <xdr:rowOff>69187</xdr:rowOff>
    </xdr:from>
    <xdr:to>
      <xdr:col>8</xdr:col>
      <xdr:colOff>528124</xdr:colOff>
      <xdr:row>59</xdr:row>
      <xdr:rowOff>163285</xdr:rowOff>
    </xdr:to>
    <xdr:pic>
      <xdr:nvPicPr>
        <xdr:cNvPr id="5" name="Picture 4">
          <a:extLst>
            <a:ext uri="{FF2B5EF4-FFF2-40B4-BE49-F238E27FC236}">
              <a16:creationId xmlns:a16="http://schemas.microsoft.com/office/drawing/2014/main" id="{3F407F71-6713-11BF-4F57-54BF6AEFCD34}"/>
            </a:ext>
          </a:extLst>
        </xdr:cNvPr>
        <xdr:cNvPicPr>
          <a:picLocks noChangeAspect="1"/>
        </xdr:cNvPicPr>
      </xdr:nvPicPr>
      <xdr:blipFill>
        <a:blip xmlns:r="http://schemas.openxmlformats.org/officeDocument/2006/relationships" r:embed="rId4"/>
        <a:stretch>
          <a:fillRect/>
        </a:stretch>
      </xdr:blipFill>
      <xdr:spPr>
        <a:xfrm>
          <a:off x="0" y="8335527"/>
          <a:ext cx="5698838" cy="2665848"/>
        </a:xfrm>
        <a:prstGeom prst="rect">
          <a:avLst/>
        </a:prstGeom>
      </xdr:spPr>
    </xdr:pic>
    <xdr:clientData/>
  </xdr:twoCellAnchor>
  <xdr:twoCellAnchor editAs="oneCell">
    <xdr:from>
      <xdr:col>0</xdr:col>
      <xdr:colOff>1</xdr:colOff>
      <xdr:row>60</xdr:row>
      <xdr:rowOff>0</xdr:rowOff>
    </xdr:from>
    <xdr:to>
      <xdr:col>8</xdr:col>
      <xdr:colOff>476250</xdr:colOff>
      <xdr:row>74</xdr:row>
      <xdr:rowOff>28596</xdr:rowOff>
    </xdr:to>
    <xdr:pic>
      <xdr:nvPicPr>
        <xdr:cNvPr id="7" name="Picture 6">
          <a:extLst>
            <a:ext uri="{FF2B5EF4-FFF2-40B4-BE49-F238E27FC236}">
              <a16:creationId xmlns:a16="http://schemas.microsoft.com/office/drawing/2014/main" id="{125A58E7-7D7B-6AAE-8B8D-EEAEF6775B90}"/>
            </a:ext>
          </a:extLst>
        </xdr:cNvPr>
        <xdr:cNvPicPr>
          <a:picLocks noChangeAspect="1"/>
        </xdr:cNvPicPr>
      </xdr:nvPicPr>
      <xdr:blipFill>
        <a:blip xmlns:r="http://schemas.openxmlformats.org/officeDocument/2006/relationships" r:embed="rId5"/>
        <a:stretch>
          <a:fillRect/>
        </a:stretch>
      </xdr:blipFill>
      <xdr:spPr>
        <a:xfrm>
          <a:off x="1" y="10757647"/>
          <a:ext cx="5675778" cy="2538714"/>
        </a:xfrm>
        <a:prstGeom prst="rect">
          <a:avLst/>
        </a:prstGeom>
      </xdr:spPr>
    </xdr:pic>
    <xdr:clientData/>
  </xdr:twoCellAnchor>
  <xdr:twoCellAnchor editAs="oneCell">
    <xdr:from>
      <xdr:col>0</xdr:col>
      <xdr:colOff>1</xdr:colOff>
      <xdr:row>74</xdr:row>
      <xdr:rowOff>0</xdr:rowOff>
    </xdr:from>
    <xdr:to>
      <xdr:col>8</xdr:col>
      <xdr:colOff>502102</xdr:colOff>
      <xdr:row>86</xdr:row>
      <xdr:rowOff>106456</xdr:rowOff>
    </xdr:to>
    <xdr:pic>
      <xdr:nvPicPr>
        <xdr:cNvPr id="9" name="Picture 8">
          <a:extLst>
            <a:ext uri="{FF2B5EF4-FFF2-40B4-BE49-F238E27FC236}">
              <a16:creationId xmlns:a16="http://schemas.microsoft.com/office/drawing/2014/main" id="{953BC58A-869C-9F0B-08BF-B2F0DAAA9A6E}"/>
            </a:ext>
          </a:extLst>
        </xdr:cNvPr>
        <xdr:cNvPicPr>
          <a:picLocks noChangeAspect="1"/>
        </xdr:cNvPicPr>
      </xdr:nvPicPr>
      <xdr:blipFill>
        <a:blip xmlns:r="http://schemas.openxmlformats.org/officeDocument/2006/relationships" r:embed="rId6"/>
        <a:stretch>
          <a:fillRect/>
        </a:stretch>
      </xdr:blipFill>
      <xdr:spPr>
        <a:xfrm>
          <a:off x="1" y="13267765"/>
          <a:ext cx="5701630" cy="2257985"/>
        </a:xfrm>
        <a:prstGeom prst="rect">
          <a:avLst/>
        </a:prstGeom>
      </xdr:spPr>
    </xdr:pic>
    <xdr:clientData/>
  </xdr:twoCellAnchor>
  <xdr:twoCellAnchor editAs="oneCell">
    <xdr:from>
      <xdr:col>0</xdr:col>
      <xdr:colOff>0</xdr:colOff>
      <xdr:row>86</xdr:row>
      <xdr:rowOff>84044</xdr:rowOff>
    </xdr:from>
    <xdr:to>
      <xdr:col>8</xdr:col>
      <xdr:colOff>551868</xdr:colOff>
      <xdr:row>101</xdr:row>
      <xdr:rowOff>89647</xdr:rowOff>
    </xdr:to>
    <xdr:pic>
      <xdr:nvPicPr>
        <xdr:cNvPr id="10" name="Picture 9">
          <a:extLst>
            <a:ext uri="{FF2B5EF4-FFF2-40B4-BE49-F238E27FC236}">
              <a16:creationId xmlns:a16="http://schemas.microsoft.com/office/drawing/2014/main" id="{FDB29913-9DDE-A6E3-EFBE-24E3C85251D8}"/>
            </a:ext>
          </a:extLst>
        </xdr:cNvPr>
        <xdr:cNvPicPr>
          <a:picLocks noChangeAspect="1"/>
        </xdr:cNvPicPr>
      </xdr:nvPicPr>
      <xdr:blipFill>
        <a:blip xmlns:r="http://schemas.openxmlformats.org/officeDocument/2006/relationships" r:embed="rId7"/>
        <a:stretch>
          <a:fillRect/>
        </a:stretch>
      </xdr:blipFill>
      <xdr:spPr>
        <a:xfrm>
          <a:off x="0" y="15503338"/>
          <a:ext cx="5751397" cy="2695015"/>
        </a:xfrm>
        <a:prstGeom prst="rect">
          <a:avLst/>
        </a:prstGeom>
      </xdr:spPr>
    </xdr:pic>
    <xdr:clientData/>
  </xdr:twoCellAnchor>
  <xdr:twoCellAnchor editAs="oneCell">
    <xdr:from>
      <xdr:col>0</xdr:col>
      <xdr:colOff>0</xdr:colOff>
      <xdr:row>101</xdr:row>
      <xdr:rowOff>16809</xdr:rowOff>
    </xdr:from>
    <xdr:to>
      <xdr:col>8</xdr:col>
      <xdr:colOff>525740</xdr:colOff>
      <xdr:row>114</xdr:row>
      <xdr:rowOff>168089</xdr:rowOff>
    </xdr:to>
    <xdr:pic>
      <xdr:nvPicPr>
        <xdr:cNvPr id="11" name="Picture 10">
          <a:extLst>
            <a:ext uri="{FF2B5EF4-FFF2-40B4-BE49-F238E27FC236}">
              <a16:creationId xmlns:a16="http://schemas.microsoft.com/office/drawing/2014/main" id="{E0256EEB-27FB-CD96-AD13-A7FD34EBE63C}"/>
            </a:ext>
          </a:extLst>
        </xdr:cNvPr>
        <xdr:cNvPicPr>
          <a:picLocks noChangeAspect="1"/>
        </xdr:cNvPicPr>
      </xdr:nvPicPr>
      <xdr:blipFill>
        <a:blip xmlns:r="http://schemas.openxmlformats.org/officeDocument/2006/relationships" r:embed="rId8"/>
        <a:stretch>
          <a:fillRect/>
        </a:stretch>
      </xdr:blipFill>
      <xdr:spPr>
        <a:xfrm>
          <a:off x="0" y="18125515"/>
          <a:ext cx="5725269" cy="2482103"/>
        </a:xfrm>
        <a:prstGeom prst="rect">
          <a:avLst/>
        </a:prstGeom>
      </xdr:spPr>
    </xdr:pic>
    <xdr:clientData/>
  </xdr:twoCellAnchor>
  <xdr:twoCellAnchor editAs="oneCell">
    <xdr:from>
      <xdr:col>0</xdr:col>
      <xdr:colOff>0</xdr:colOff>
      <xdr:row>115</xdr:row>
      <xdr:rowOff>1</xdr:rowOff>
    </xdr:from>
    <xdr:to>
      <xdr:col>8</xdr:col>
      <xdr:colOff>601076</xdr:colOff>
      <xdr:row>129</xdr:row>
      <xdr:rowOff>39222</xdr:rowOff>
    </xdr:to>
    <xdr:pic>
      <xdr:nvPicPr>
        <xdr:cNvPr id="12" name="Picture 11">
          <a:extLst>
            <a:ext uri="{FF2B5EF4-FFF2-40B4-BE49-F238E27FC236}">
              <a16:creationId xmlns:a16="http://schemas.microsoft.com/office/drawing/2014/main" id="{62086924-DF5B-2A16-B4CE-BBCB531489FD}"/>
            </a:ext>
          </a:extLst>
        </xdr:cNvPr>
        <xdr:cNvPicPr>
          <a:picLocks noChangeAspect="1"/>
        </xdr:cNvPicPr>
      </xdr:nvPicPr>
      <xdr:blipFill>
        <a:blip xmlns:r="http://schemas.openxmlformats.org/officeDocument/2006/relationships" r:embed="rId9"/>
        <a:stretch>
          <a:fillRect/>
        </a:stretch>
      </xdr:blipFill>
      <xdr:spPr>
        <a:xfrm>
          <a:off x="0" y="20618825"/>
          <a:ext cx="5800605" cy="2549338"/>
        </a:xfrm>
        <a:prstGeom prst="rect">
          <a:avLst/>
        </a:prstGeom>
      </xdr:spPr>
    </xdr:pic>
    <xdr:clientData/>
  </xdr:twoCellAnchor>
  <xdr:twoCellAnchor editAs="oneCell">
    <xdr:from>
      <xdr:col>0</xdr:col>
      <xdr:colOff>0</xdr:colOff>
      <xdr:row>129</xdr:row>
      <xdr:rowOff>22412</xdr:rowOff>
    </xdr:from>
    <xdr:to>
      <xdr:col>8</xdr:col>
      <xdr:colOff>560295</xdr:colOff>
      <xdr:row>144</xdr:row>
      <xdr:rowOff>84818</xdr:rowOff>
    </xdr:to>
    <xdr:pic>
      <xdr:nvPicPr>
        <xdr:cNvPr id="13" name="Picture 12">
          <a:extLst>
            <a:ext uri="{FF2B5EF4-FFF2-40B4-BE49-F238E27FC236}">
              <a16:creationId xmlns:a16="http://schemas.microsoft.com/office/drawing/2014/main" id="{0A6E5705-8AA1-46F9-7EC8-6DBDB19FDF3C}"/>
            </a:ext>
          </a:extLst>
        </xdr:cNvPr>
        <xdr:cNvPicPr>
          <a:picLocks noChangeAspect="1"/>
        </xdr:cNvPicPr>
      </xdr:nvPicPr>
      <xdr:blipFill>
        <a:blip xmlns:r="http://schemas.openxmlformats.org/officeDocument/2006/relationships" r:embed="rId10"/>
        <a:stretch>
          <a:fillRect/>
        </a:stretch>
      </xdr:blipFill>
      <xdr:spPr>
        <a:xfrm>
          <a:off x="0" y="23151353"/>
          <a:ext cx="5759824" cy="2751818"/>
        </a:xfrm>
        <a:prstGeom prst="rect">
          <a:avLst/>
        </a:prstGeom>
      </xdr:spPr>
    </xdr:pic>
    <xdr:clientData/>
  </xdr:twoCellAnchor>
  <xdr:twoCellAnchor editAs="oneCell">
    <xdr:from>
      <xdr:col>0</xdr:col>
      <xdr:colOff>0</xdr:colOff>
      <xdr:row>144</xdr:row>
      <xdr:rowOff>61632</xdr:rowOff>
    </xdr:from>
    <xdr:to>
      <xdr:col>8</xdr:col>
      <xdr:colOff>524961</xdr:colOff>
      <xdr:row>159</xdr:row>
      <xdr:rowOff>0</xdr:rowOff>
    </xdr:to>
    <xdr:pic>
      <xdr:nvPicPr>
        <xdr:cNvPr id="14" name="Picture 13">
          <a:extLst>
            <a:ext uri="{FF2B5EF4-FFF2-40B4-BE49-F238E27FC236}">
              <a16:creationId xmlns:a16="http://schemas.microsoft.com/office/drawing/2014/main" id="{4D11370B-FA79-287C-465D-57F27EB241C3}"/>
            </a:ext>
          </a:extLst>
        </xdr:cNvPr>
        <xdr:cNvPicPr>
          <a:picLocks noChangeAspect="1"/>
        </xdr:cNvPicPr>
      </xdr:nvPicPr>
      <xdr:blipFill>
        <a:blip xmlns:r="http://schemas.openxmlformats.org/officeDocument/2006/relationships" r:embed="rId11"/>
        <a:stretch>
          <a:fillRect/>
        </a:stretch>
      </xdr:blipFill>
      <xdr:spPr>
        <a:xfrm>
          <a:off x="0" y="25879985"/>
          <a:ext cx="5724490" cy="2627780"/>
        </a:xfrm>
        <a:prstGeom prst="rect">
          <a:avLst/>
        </a:prstGeom>
      </xdr:spPr>
    </xdr:pic>
    <xdr:clientData/>
  </xdr:twoCellAnchor>
  <xdr:twoCellAnchor editAs="oneCell">
    <xdr:from>
      <xdr:col>0</xdr:col>
      <xdr:colOff>1</xdr:colOff>
      <xdr:row>159</xdr:row>
      <xdr:rowOff>0</xdr:rowOff>
    </xdr:from>
    <xdr:to>
      <xdr:col>9</xdr:col>
      <xdr:colOff>180944</xdr:colOff>
      <xdr:row>174</xdr:row>
      <xdr:rowOff>123265</xdr:rowOff>
    </xdr:to>
    <xdr:pic>
      <xdr:nvPicPr>
        <xdr:cNvPr id="15" name="Picture 14">
          <a:extLst>
            <a:ext uri="{FF2B5EF4-FFF2-40B4-BE49-F238E27FC236}">
              <a16:creationId xmlns:a16="http://schemas.microsoft.com/office/drawing/2014/main" id="{D24043F7-5481-0011-FA2A-0419D7B92673}"/>
            </a:ext>
          </a:extLst>
        </xdr:cNvPr>
        <xdr:cNvPicPr>
          <a:picLocks noChangeAspect="1"/>
        </xdr:cNvPicPr>
      </xdr:nvPicPr>
      <xdr:blipFill>
        <a:blip xmlns:r="http://schemas.openxmlformats.org/officeDocument/2006/relationships" r:embed="rId12"/>
        <a:stretch>
          <a:fillRect/>
        </a:stretch>
      </xdr:blipFill>
      <xdr:spPr>
        <a:xfrm>
          <a:off x="1" y="28507765"/>
          <a:ext cx="6030414" cy="2812676"/>
        </a:xfrm>
        <a:prstGeom prst="rect">
          <a:avLst/>
        </a:prstGeom>
      </xdr:spPr>
    </xdr:pic>
    <xdr:clientData/>
  </xdr:twoCellAnchor>
  <xdr:twoCellAnchor editAs="oneCell">
    <xdr:from>
      <xdr:col>0</xdr:col>
      <xdr:colOff>0</xdr:colOff>
      <xdr:row>174</xdr:row>
      <xdr:rowOff>145677</xdr:rowOff>
    </xdr:from>
    <xdr:to>
      <xdr:col>9</xdr:col>
      <xdr:colOff>207567</xdr:colOff>
      <xdr:row>191</xdr:row>
      <xdr:rowOff>50426</xdr:rowOff>
    </xdr:to>
    <xdr:pic>
      <xdr:nvPicPr>
        <xdr:cNvPr id="16" name="Picture 15">
          <a:extLst>
            <a:ext uri="{FF2B5EF4-FFF2-40B4-BE49-F238E27FC236}">
              <a16:creationId xmlns:a16="http://schemas.microsoft.com/office/drawing/2014/main" id="{F005E2B4-F295-0410-BCD3-FFEB0896F88A}"/>
            </a:ext>
          </a:extLst>
        </xdr:cNvPr>
        <xdr:cNvPicPr>
          <a:picLocks noChangeAspect="1"/>
        </xdr:cNvPicPr>
      </xdr:nvPicPr>
      <xdr:blipFill>
        <a:blip xmlns:r="http://schemas.openxmlformats.org/officeDocument/2006/relationships" r:embed="rId13"/>
        <a:stretch>
          <a:fillRect/>
        </a:stretch>
      </xdr:blipFill>
      <xdr:spPr>
        <a:xfrm>
          <a:off x="0" y="31342853"/>
          <a:ext cx="6057038" cy="2952749"/>
        </a:xfrm>
        <a:prstGeom prst="rect">
          <a:avLst/>
        </a:prstGeom>
      </xdr:spPr>
    </xdr:pic>
    <xdr:clientData/>
  </xdr:twoCellAnchor>
  <xdr:twoCellAnchor editAs="oneCell">
    <xdr:from>
      <xdr:col>0</xdr:col>
      <xdr:colOff>0</xdr:colOff>
      <xdr:row>191</xdr:row>
      <xdr:rowOff>0</xdr:rowOff>
    </xdr:from>
    <xdr:to>
      <xdr:col>9</xdr:col>
      <xdr:colOff>172398</xdr:colOff>
      <xdr:row>206</xdr:row>
      <xdr:rowOff>164523</xdr:rowOff>
    </xdr:to>
    <xdr:pic>
      <xdr:nvPicPr>
        <xdr:cNvPr id="17" name="Picture 16">
          <a:extLst>
            <a:ext uri="{FF2B5EF4-FFF2-40B4-BE49-F238E27FC236}">
              <a16:creationId xmlns:a16="http://schemas.microsoft.com/office/drawing/2014/main" id="{E2F4AE36-057A-B131-0061-3700954505AB}"/>
            </a:ext>
          </a:extLst>
        </xdr:cNvPr>
        <xdr:cNvPicPr>
          <a:picLocks noChangeAspect="1"/>
        </xdr:cNvPicPr>
      </xdr:nvPicPr>
      <xdr:blipFill>
        <a:blip xmlns:r="http://schemas.openxmlformats.org/officeDocument/2006/relationships" r:embed="rId14"/>
        <a:stretch>
          <a:fillRect/>
        </a:stretch>
      </xdr:blipFill>
      <xdr:spPr>
        <a:xfrm>
          <a:off x="0" y="34731615"/>
          <a:ext cx="6017285" cy="2892135"/>
        </a:xfrm>
        <a:prstGeom prst="rect">
          <a:avLst/>
        </a:prstGeom>
      </xdr:spPr>
    </xdr:pic>
    <xdr:clientData/>
  </xdr:twoCellAnchor>
  <xdr:twoCellAnchor editAs="oneCell">
    <xdr:from>
      <xdr:col>0</xdr:col>
      <xdr:colOff>0</xdr:colOff>
      <xdr:row>207</xdr:row>
      <xdr:rowOff>1</xdr:rowOff>
    </xdr:from>
    <xdr:to>
      <xdr:col>9</xdr:col>
      <xdr:colOff>128867</xdr:colOff>
      <xdr:row>222</xdr:row>
      <xdr:rowOff>105061</xdr:rowOff>
    </xdr:to>
    <xdr:pic>
      <xdr:nvPicPr>
        <xdr:cNvPr id="18" name="Picture 17">
          <a:extLst>
            <a:ext uri="{FF2B5EF4-FFF2-40B4-BE49-F238E27FC236}">
              <a16:creationId xmlns:a16="http://schemas.microsoft.com/office/drawing/2014/main" id="{6D7FD702-A029-7F4D-0E8F-7984E5E93992}"/>
            </a:ext>
          </a:extLst>
        </xdr:cNvPr>
        <xdr:cNvPicPr>
          <a:picLocks noChangeAspect="1"/>
        </xdr:cNvPicPr>
      </xdr:nvPicPr>
      <xdr:blipFill>
        <a:blip xmlns:r="http://schemas.openxmlformats.org/officeDocument/2006/relationships" r:embed="rId15"/>
        <a:stretch>
          <a:fillRect/>
        </a:stretch>
      </xdr:blipFill>
      <xdr:spPr>
        <a:xfrm>
          <a:off x="0" y="37113883"/>
          <a:ext cx="5978338" cy="279447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7</xdr:col>
      <xdr:colOff>624728</xdr:colOff>
      <xdr:row>51</xdr:row>
      <xdr:rowOff>96653</xdr:rowOff>
    </xdr:from>
    <xdr:to>
      <xdr:col>18</xdr:col>
      <xdr:colOff>419941</xdr:colOff>
      <xdr:row>70</xdr:row>
      <xdr:rowOff>125226</xdr:rowOff>
    </xdr:to>
    <xdr:graphicFrame macro="">
      <xdr:nvGraphicFramePr>
        <xdr:cNvPr id="3" name="Chart 2">
          <a:extLst>
            <a:ext uri="{FF2B5EF4-FFF2-40B4-BE49-F238E27FC236}">
              <a16:creationId xmlns:a16="http://schemas.microsoft.com/office/drawing/2014/main" id="{58D85C1A-D223-F9E8-4ECE-F1601EAB51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274205</xdr:colOff>
      <xdr:row>22</xdr:row>
      <xdr:rowOff>9621</xdr:rowOff>
    </xdr:from>
    <xdr:to>
      <xdr:col>15</xdr:col>
      <xdr:colOff>347381</xdr:colOff>
      <xdr:row>37</xdr:row>
      <xdr:rowOff>117662</xdr:rowOff>
    </xdr:to>
    <xdr:graphicFrame macro="">
      <xdr:nvGraphicFramePr>
        <xdr:cNvPr id="2" name="Chart 1">
          <a:extLst>
            <a:ext uri="{FF2B5EF4-FFF2-40B4-BE49-F238E27FC236}">
              <a16:creationId xmlns:a16="http://schemas.microsoft.com/office/drawing/2014/main" id="{F956547B-B1CC-C714-F3A3-2AE1EA2056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7</xdr:col>
      <xdr:colOff>582082</xdr:colOff>
      <xdr:row>22</xdr:row>
      <xdr:rowOff>158748</xdr:rowOff>
    </xdr:from>
    <xdr:to>
      <xdr:col>15</xdr:col>
      <xdr:colOff>26987</xdr:colOff>
      <xdr:row>39</xdr:row>
      <xdr:rowOff>164627</xdr:rowOff>
    </xdr:to>
    <xdr:graphicFrame macro="">
      <xdr:nvGraphicFramePr>
        <xdr:cNvPr id="5" name="Chart 4">
          <a:extLst>
            <a:ext uri="{FF2B5EF4-FFF2-40B4-BE49-F238E27FC236}">
              <a16:creationId xmlns:a16="http://schemas.microsoft.com/office/drawing/2014/main" id="{6248BF7C-59B1-2998-F757-7F7ED48704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7</xdr:col>
      <xdr:colOff>693796</xdr:colOff>
      <xdr:row>22</xdr:row>
      <xdr:rowOff>88195</xdr:rowOff>
    </xdr:from>
    <xdr:to>
      <xdr:col>14</xdr:col>
      <xdr:colOff>316734</xdr:colOff>
      <xdr:row>40</xdr:row>
      <xdr:rowOff>158749</xdr:rowOff>
    </xdr:to>
    <xdr:graphicFrame macro="">
      <xdr:nvGraphicFramePr>
        <xdr:cNvPr id="5" name="Chart 4">
          <a:extLst>
            <a:ext uri="{FF2B5EF4-FFF2-40B4-BE49-F238E27FC236}">
              <a16:creationId xmlns:a16="http://schemas.microsoft.com/office/drawing/2014/main" id="{CE3A914B-AB09-CD66-4F4D-F9DA830222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266700</xdr:colOff>
      <xdr:row>1</xdr:row>
      <xdr:rowOff>14287</xdr:rowOff>
    </xdr:from>
    <xdr:to>
      <xdr:col>16</xdr:col>
      <xdr:colOff>454817</xdr:colOff>
      <xdr:row>22</xdr:row>
      <xdr:rowOff>52386</xdr:rowOff>
    </xdr:to>
    <xdr:graphicFrame macro="">
      <xdr:nvGraphicFramePr>
        <xdr:cNvPr id="2" name="Chart 1">
          <a:extLst>
            <a:ext uri="{FF2B5EF4-FFF2-40B4-BE49-F238E27FC236}">
              <a16:creationId xmlns:a16="http://schemas.microsoft.com/office/drawing/2014/main" id="{C50FC2FC-4744-A1AA-252D-B2CBE9B5B6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242887</xdr:colOff>
      <xdr:row>0</xdr:row>
      <xdr:rowOff>176211</xdr:rowOff>
    </xdr:from>
    <xdr:to>
      <xdr:col>14</xdr:col>
      <xdr:colOff>642936</xdr:colOff>
      <xdr:row>21</xdr:row>
      <xdr:rowOff>109537</xdr:rowOff>
    </xdr:to>
    <xdr:graphicFrame macro="">
      <xdr:nvGraphicFramePr>
        <xdr:cNvPr id="2" name="Chart 1">
          <a:extLst>
            <a:ext uri="{FF2B5EF4-FFF2-40B4-BE49-F238E27FC236}">
              <a16:creationId xmlns:a16="http://schemas.microsoft.com/office/drawing/2014/main" id="{48FAD157-73BA-7E7F-B08A-B13F0EBE55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266700</xdr:colOff>
      <xdr:row>1</xdr:row>
      <xdr:rowOff>61912</xdr:rowOff>
    </xdr:from>
    <xdr:to>
      <xdr:col>16</xdr:col>
      <xdr:colOff>173829</xdr:colOff>
      <xdr:row>21</xdr:row>
      <xdr:rowOff>95249</xdr:rowOff>
    </xdr:to>
    <xdr:graphicFrame macro="">
      <xdr:nvGraphicFramePr>
        <xdr:cNvPr id="2" name="Chart 1">
          <a:extLst>
            <a:ext uri="{FF2B5EF4-FFF2-40B4-BE49-F238E27FC236}">
              <a16:creationId xmlns:a16="http://schemas.microsoft.com/office/drawing/2014/main" id="{10E16377-262E-50A6-77B2-8AE72E044F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190499</xdr:colOff>
      <xdr:row>0</xdr:row>
      <xdr:rowOff>136664</xdr:rowOff>
    </xdr:from>
    <xdr:to>
      <xdr:col>12</xdr:col>
      <xdr:colOff>71126</xdr:colOff>
      <xdr:row>18</xdr:row>
      <xdr:rowOff>6420</xdr:rowOff>
    </xdr:to>
    <xdr:graphicFrame macro="">
      <xdr:nvGraphicFramePr>
        <xdr:cNvPr id="2" name="Chart 1">
          <a:extLst>
            <a:ext uri="{FF2B5EF4-FFF2-40B4-BE49-F238E27FC236}">
              <a16:creationId xmlns:a16="http://schemas.microsoft.com/office/drawing/2014/main" id="{E69A6648-C539-ACA3-DA9C-065989646F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5</xdr:col>
      <xdr:colOff>42862</xdr:colOff>
      <xdr:row>0</xdr:row>
      <xdr:rowOff>147637</xdr:rowOff>
    </xdr:from>
    <xdr:to>
      <xdr:col>17</xdr:col>
      <xdr:colOff>135730</xdr:colOff>
      <xdr:row>22</xdr:row>
      <xdr:rowOff>52386</xdr:rowOff>
    </xdr:to>
    <xdr:graphicFrame macro="">
      <xdr:nvGraphicFramePr>
        <xdr:cNvPr id="2" name="Chart 1">
          <a:extLst>
            <a:ext uri="{FF2B5EF4-FFF2-40B4-BE49-F238E27FC236}">
              <a16:creationId xmlns:a16="http://schemas.microsoft.com/office/drawing/2014/main" id="{7ABD5FC3-CAAD-9FBC-B26F-5E0868CD7B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pwxia\Downloads\CFA\WESTPORTS\supplements.xlsx" TargetMode="External"/><Relationship Id="rId1" Type="http://schemas.openxmlformats.org/officeDocument/2006/relationships/externalLinkPath" Target="file:///C:\Users\pwxia\Downloads\CFA\WESTPORTS\supplement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Growth"/>
      <sheetName val="Q3 Segments"/>
    </sheetNames>
    <sheetDataSet>
      <sheetData sheetId="0"/>
      <sheetData sheetId="1">
        <row r="3">
          <cell r="A3" t="str">
            <v>Container</v>
          </cell>
          <cell r="B3">
            <v>0.85199999999999998</v>
          </cell>
        </row>
        <row r="4">
          <cell r="A4" t="str">
            <v>Conventional</v>
          </cell>
          <cell r="B4">
            <v>7.4999999999999997E-2</v>
          </cell>
        </row>
        <row r="5">
          <cell r="A5" t="str">
            <v>Marine</v>
          </cell>
          <cell r="B5">
            <v>3.5000000000000003E-2</v>
          </cell>
        </row>
        <row r="6">
          <cell r="A6" t="str">
            <v>Rental</v>
          </cell>
          <cell r="B6">
            <v>3.7999999999999999E-2</v>
          </cell>
        </row>
        <row r="7">
          <cell r="A7" t="str">
            <v>Construction</v>
          </cell>
          <cell r="B7">
            <v>0</v>
          </cell>
        </row>
        <row r="9">
          <cell r="A9" t="str">
            <v>Intra-Asia</v>
          </cell>
          <cell r="B9">
            <v>0.66</v>
          </cell>
        </row>
        <row r="10">
          <cell r="A10" t="str">
            <v>Asia-Europe</v>
          </cell>
          <cell r="B10">
            <v>0.14299999999999999</v>
          </cell>
        </row>
        <row r="11">
          <cell r="A11" t="str">
            <v>Asia-America</v>
          </cell>
          <cell r="B11">
            <v>0.09</v>
          </cell>
        </row>
        <row r="12">
          <cell r="A12" t="str">
            <v>Asia-Australasia</v>
          </cell>
          <cell r="B12">
            <v>7.3999999999999996E-2</v>
          </cell>
        </row>
        <row r="13">
          <cell r="A13" t="str">
            <v>Asia-Africa</v>
          </cell>
          <cell r="B13">
            <v>1.4999999999999999E-2</v>
          </cell>
        </row>
        <row r="14">
          <cell r="A14" t="str">
            <v>Others</v>
          </cell>
          <cell r="B14">
            <v>1.7999999999999999E-2</v>
          </cell>
        </row>
      </sheetData>
    </sheetDataSet>
  </externalBook>
</externalLink>
</file>

<file path=xl/persons/person.xml><?xml version="1.0" encoding="utf-8"?>
<personList xmlns="http://schemas.microsoft.com/office/spreadsheetml/2018/threadedcomments" xmlns:x="http://schemas.openxmlformats.org/spreadsheetml/2006/mai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912AC30-0F21-4AA4-AFB9-61CDD8D62ABF}" name="Table1" displayName="Table1" ref="A1:E19" totalsRowShown="0">
  <autoFilter ref="A1:E19" xr:uid="{A912AC30-0F21-4AA4-AFB9-61CDD8D62ABF}"/>
  <tableColumns count="5">
    <tableColumn id="1" xr3:uid="{42A65C03-1518-40CA-A899-1BF3C30B8771}" name="Timeline"/>
    <tableColumn id="2" xr3:uid="{AF335048-F187-48B1-BF95-A43D693A0380}" name="Values"/>
    <tableColumn id="3" xr3:uid="{08ED5298-55F1-4B80-BDC7-5EC7DF2E96DE}" name="Forecast" dataDxfId="8">
      <calculatedColumnFormula>_xlfn.FORECAST.ETS(A2,$B$2:$B$14,$A$2:$A$14,1,1)</calculatedColumnFormula>
    </tableColumn>
    <tableColumn id="4" xr3:uid="{4D666E86-8E76-407A-AE34-1D6B014817B1}" name="Lower Confidence Bound" dataDxfId="7">
      <calculatedColumnFormula>C2-_xlfn.FORECAST.ETS.CONFINT(A2,$B$2:$B$14,$A$2:$A$14,0.8,1,1)</calculatedColumnFormula>
    </tableColumn>
    <tableColumn id="5" xr3:uid="{6C438BDD-9BC2-4876-A8BF-017641B27A2A}" name="Upper Confidence Bound" dataDxfId="6">
      <calculatedColumnFormula>C2+_xlfn.FORECAST.ETS.CONFINT(A2,$B$2:$B$14,$A$2:$A$14,0.8,1,1)</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FCBBB96-FADF-4270-BBE6-2CADF570FC58}" name="Table2" displayName="Table2" ref="A1:E19" totalsRowShown="0">
  <autoFilter ref="A1:E19" xr:uid="{1FCBBB96-FADF-4270-BBE6-2CADF570FC58}"/>
  <tableColumns count="5">
    <tableColumn id="1" xr3:uid="{DEEC8696-314A-4171-8E24-793DBC082357}" name="Timeline"/>
    <tableColumn id="2" xr3:uid="{6575D081-2861-4B69-9A68-E48C37D4E765}" name="Values"/>
    <tableColumn id="3" xr3:uid="{E7406639-0C36-42E1-9130-8C6E9FADB546}" name="Forecast" dataDxfId="5">
      <calculatedColumnFormula>_xlfn.FORECAST.ETS(A2,$B$2:$B$14,$A$2:$A$14,1,1)</calculatedColumnFormula>
    </tableColumn>
    <tableColumn id="4" xr3:uid="{84674B8B-A399-4FE7-AB3C-0F794CBBBCA3}" name="Lower Confidence Bound" dataDxfId="4">
      <calculatedColumnFormula>C2-_xlfn.FORECAST.ETS.CONFINT(A2,$B$2:$B$14,$A$2:$A$14,0.8,1,1)</calculatedColumnFormula>
    </tableColumn>
    <tableColumn id="5" xr3:uid="{633CACAC-C8CA-47F9-AAB6-4F2702EEF179}" name="Upper Confidence Bound" dataDxfId="3">
      <calculatedColumnFormula>C2+_xlfn.FORECAST.ETS.CONFINT(A2,$B$2:$B$14,$A$2:$A$14,0.8,1,1)</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0BBF7C3-6DA5-4C51-A704-49778859D449}" name="Table4" displayName="Table4" ref="A1:E19" totalsRowShown="0">
  <autoFilter ref="A1:E19" xr:uid="{30BBF7C3-6DA5-4C51-A704-49778859D449}"/>
  <tableColumns count="5">
    <tableColumn id="1" xr3:uid="{FB1ED5A3-447F-4E70-A0CA-6628A3694BDC}" name="Timeline"/>
    <tableColumn id="2" xr3:uid="{493DD760-A0D4-401F-8F3C-44501D8A0518}" name="Values"/>
    <tableColumn id="3" xr3:uid="{CBF2B81A-6514-45B3-A2B3-73D738E7DB5F}" name="Forecast" dataDxfId="2">
      <calculatedColumnFormula>_xlfn.FORECAST.ETS(A2,$B$2:$B$14,$A$2:$A$14,1,1)</calculatedColumnFormula>
    </tableColumn>
    <tableColumn id="4" xr3:uid="{98E9198F-7342-49BD-AFBE-E15AC5D9084C}" name="Lower Confidence Bound" dataDxfId="1">
      <calculatedColumnFormula>C2-_xlfn.FORECAST.ETS.CONFINT(A2,$B$2:$B$14,$A$2:$A$14,0.8,1,1)</calculatedColumnFormula>
    </tableColumn>
    <tableColumn id="5" xr3:uid="{9EF54E10-68CB-4425-8C84-637BF4FAC101}" name="Upper Confidence Bound" dataDxfId="0">
      <calculatedColumnFormula>C2+_xlfn.FORECAST.ETS.CONFINT(A2,$B$2:$B$14,$A$2:$A$14,0.8,1,1)</calculatedColumnFormula>
    </tableColumn>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837DCB3-CADB-433E-8F15-89F9DBB7D294}" name="Table3" displayName="Table3" ref="A1:E19" totalsRowShown="0">
  <autoFilter ref="A1:E19" xr:uid="{8837DCB3-CADB-433E-8F15-89F9DBB7D294}"/>
  <tableColumns count="5">
    <tableColumn id="1" xr3:uid="{1492A0EA-70AF-4058-8247-05FBE6DE7DA0}" name="Timeline"/>
    <tableColumn id="2" xr3:uid="{01612895-3793-469E-B77A-ACF187491512}" name="Values"/>
    <tableColumn id="3" xr3:uid="{FBEFA625-A1D3-45D5-8094-0368EFB7077D}" name="Forecast">
      <calculatedColumnFormula>_xlfn.FORECAST.ETS(A2,$B$2:$B$14,$A$2:$A$14,1,1)</calculatedColumnFormula>
    </tableColumn>
    <tableColumn id="4" xr3:uid="{DE03A068-9038-451B-A0F2-187A35C999E0}" name="Lower Confidence Bound" dataDxfId="12">
      <calculatedColumnFormula>C2-_xlfn.FORECAST.ETS.CONFINT(A2,$B$2:$B$14,$A$2:$A$14,0.95,1,1)</calculatedColumnFormula>
    </tableColumn>
    <tableColumn id="5" xr3:uid="{D8B4868F-9ED7-4136-82B0-430F1B0D324E}" name="Upper Confidence Bound" dataDxfId="11">
      <calculatedColumnFormula>C2+_xlfn.FORECAST.ETS.CONFINT(A2,$B$2:$B$14,$A$2:$A$14,0.95,1,1)</calculatedColumnFormula>
    </tableColumn>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96C02544-E468-47F5-ABED-2F4292CB28F2}" name="Table5" displayName="Table5" ref="A1:E14" totalsRowShown="0">
  <autoFilter ref="A1:E14" xr:uid="{96C02544-E468-47F5-ABED-2F4292CB28F2}"/>
  <tableColumns count="5">
    <tableColumn id="1" xr3:uid="{61798873-87E8-4D49-ACB3-C39A12C6DB9E}" name="Timeline"/>
    <tableColumn id="2" xr3:uid="{F06B3886-6182-4D2F-A9DE-96174E32DF5F}" name="Values"/>
    <tableColumn id="3" xr3:uid="{EB7AEA3F-D4A2-4D10-BE53-B8F1259EA146}" name="Forecast">
      <calculatedColumnFormula>_xlfn.FORECAST.ETS(A2,$B$2:$B$10,$A$2:$A$10,1,1)</calculatedColumnFormula>
    </tableColumn>
    <tableColumn id="4" xr3:uid="{9A312B30-9020-4CDF-9060-A5C223670E46}" name="Lower Confidence Bound" dataDxfId="10">
      <calculatedColumnFormula>C2-_xlfn.FORECAST.ETS.CONFINT(A2,$B$2:$B$10,$A$2:$A$10,0.95,1,1)</calculatedColumnFormula>
    </tableColumn>
    <tableColumn id="5" xr3:uid="{0D867FAF-F107-43E3-8591-9A356C6B5128}" name="Upper Confidence Bound" dataDxfId="9">
      <calculatedColumnFormula>C2+_xlfn.FORECAST.ETS.CONFINT(A2,$B$2:$B$10,$A$2:$A$10,0.95,1,1)</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565749-6354-4EDD-8CDE-AFB73D46AE99}">
  <sheetPr>
    <tabColor theme="9" tint="0.79998168889431442"/>
  </sheetPr>
  <dimension ref="A1:B25"/>
  <sheetViews>
    <sheetView tabSelected="1" workbookViewId="0">
      <selection activeCell="E12" sqref="E12"/>
    </sheetView>
  </sheetViews>
  <sheetFormatPr defaultRowHeight="14.25" x14ac:dyDescent="0.45"/>
  <cols>
    <col min="1" max="1" width="72.53125" customWidth="1"/>
  </cols>
  <sheetData>
    <row r="1" spans="1:2" x14ac:dyDescent="0.45">
      <c r="A1" s="75" t="s">
        <v>198</v>
      </c>
      <c r="B1" s="75" t="s">
        <v>181</v>
      </c>
    </row>
    <row r="2" spans="1:2" x14ac:dyDescent="0.45">
      <c r="A2" s="76" t="s">
        <v>237</v>
      </c>
      <c r="B2" s="77">
        <v>7.4999999999999997E-2</v>
      </c>
    </row>
    <row r="3" spans="1:2" ht="13.9" customHeight="1" x14ac:dyDescent="0.45">
      <c r="A3" s="78" t="s">
        <v>238</v>
      </c>
      <c r="B3" s="77">
        <v>0.60666666666666669</v>
      </c>
    </row>
    <row r="4" spans="1:2" ht="28.5" x14ac:dyDescent="0.45">
      <c r="A4" s="78" t="s">
        <v>239</v>
      </c>
      <c r="B4" s="76"/>
    </row>
    <row r="5" spans="1:2" ht="42.75" x14ac:dyDescent="0.45">
      <c r="A5" s="78" t="s">
        <v>240</v>
      </c>
      <c r="B5" s="76"/>
    </row>
    <row r="6" spans="1:2" ht="42.75" x14ac:dyDescent="0.45">
      <c r="A6" s="78" t="s">
        <v>250</v>
      </c>
      <c r="B6" s="76"/>
    </row>
    <row r="7" spans="1:2" ht="42.75" x14ac:dyDescent="0.45">
      <c r="A7" s="78" t="s">
        <v>258</v>
      </c>
      <c r="B7" s="76"/>
    </row>
    <row r="8" spans="1:2" x14ac:dyDescent="0.45">
      <c r="A8" s="104" t="s">
        <v>208</v>
      </c>
      <c r="B8" s="95"/>
    </row>
    <row r="9" spans="1:2" ht="28.5" x14ac:dyDescent="0.45">
      <c r="A9" s="85" t="s">
        <v>241</v>
      </c>
      <c r="B9" s="96"/>
    </row>
    <row r="10" spans="1:2" x14ac:dyDescent="0.45">
      <c r="A10" s="83"/>
      <c r="B10" s="96"/>
    </row>
    <row r="11" spans="1:2" ht="32.35" customHeight="1" x14ac:dyDescent="0.45">
      <c r="A11" s="84"/>
      <c r="B11" s="97"/>
    </row>
    <row r="13" spans="1:2" x14ac:dyDescent="0.45">
      <c r="A13" s="52" t="s">
        <v>249</v>
      </c>
    </row>
    <row r="14" spans="1:2" x14ac:dyDescent="0.45">
      <c r="A14" t="s">
        <v>262</v>
      </c>
    </row>
    <row r="15" spans="1:2" x14ac:dyDescent="0.45">
      <c r="A15" t="s">
        <v>257</v>
      </c>
    </row>
    <row r="16" spans="1:2" x14ac:dyDescent="0.45">
      <c r="A16" t="s">
        <v>251</v>
      </c>
    </row>
    <row r="17" spans="1:1" x14ac:dyDescent="0.45">
      <c r="A17" t="s">
        <v>252</v>
      </c>
    </row>
    <row r="18" spans="1:1" x14ac:dyDescent="0.45">
      <c r="A18" t="s">
        <v>253</v>
      </c>
    </row>
    <row r="19" spans="1:1" x14ac:dyDescent="0.45">
      <c r="A19" t="s">
        <v>254</v>
      </c>
    </row>
    <row r="20" spans="1:1" x14ac:dyDescent="0.45">
      <c r="A20" t="s">
        <v>259</v>
      </c>
    </row>
    <row r="21" spans="1:1" x14ac:dyDescent="0.45">
      <c r="A21" t="s">
        <v>264</v>
      </c>
    </row>
    <row r="22" spans="1:1" x14ac:dyDescent="0.45">
      <c r="A22" t="s">
        <v>265</v>
      </c>
    </row>
    <row r="23" spans="1:1" x14ac:dyDescent="0.45">
      <c r="A23" t="s">
        <v>263</v>
      </c>
    </row>
    <row r="24" spans="1:1" x14ac:dyDescent="0.45">
      <c r="A24" t="s">
        <v>255</v>
      </c>
    </row>
    <row r="25" spans="1:1" x14ac:dyDescent="0.45">
      <c r="A25" t="s">
        <v>256</v>
      </c>
    </row>
  </sheetData>
  <pageMargins left="0.7" right="0.7" top="0.75" bottom="0.75" header="0.3" footer="0.3"/>
  <drawing r:id="rId1"/>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418F76-BDFF-4B59-9672-FB710B9A1C31}">
  <dimension ref="A1:M44"/>
  <sheetViews>
    <sheetView workbookViewId="0">
      <selection activeCell="H7" sqref="H7"/>
    </sheetView>
  </sheetViews>
  <sheetFormatPr defaultRowHeight="14.25" x14ac:dyDescent="0.45"/>
  <cols>
    <col min="1" max="1" width="33.265625" bestFit="1" customWidth="1"/>
    <col min="2" max="3" width="14.6640625" bestFit="1" customWidth="1"/>
    <col min="4" max="4" width="14.59765625" bestFit="1" customWidth="1"/>
    <col min="5" max="5" width="13.59765625" bestFit="1" customWidth="1"/>
    <col min="6" max="6" width="16.1328125" bestFit="1" customWidth="1"/>
    <col min="7" max="7" width="14.59765625" bestFit="1" customWidth="1"/>
    <col min="8" max="8" width="13.59765625" bestFit="1" customWidth="1"/>
    <col min="13" max="13" width="11.33203125" bestFit="1" customWidth="1"/>
  </cols>
  <sheetData>
    <row r="1" spans="1:8" x14ac:dyDescent="0.45">
      <c r="B1">
        <v>1</v>
      </c>
      <c r="C1">
        <v>2</v>
      </c>
      <c r="D1">
        <v>3</v>
      </c>
    </row>
    <row r="2" spans="1:8" x14ac:dyDescent="0.45">
      <c r="A2" s="11" t="s">
        <v>89</v>
      </c>
      <c r="B2" s="12" t="s">
        <v>61</v>
      </c>
      <c r="C2" s="12" t="s">
        <v>62</v>
      </c>
      <c r="D2" s="12" t="s">
        <v>109</v>
      </c>
      <c r="E2" s="22" t="s">
        <v>160</v>
      </c>
      <c r="F2">
        <v>2024</v>
      </c>
    </row>
    <row r="3" spans="1:8" x14ac:dyDescent="0.45">
      <c r="A3" s="13" t="s">
        <v>110</v>
      </c>
      <c r="B3" s="14" t="s">
        <v>146</v>
      </c>
      <c r="C3" s="14" t="s">
        <v>147</v>
      </c>
      <c r="D3" s="14" t="s">
        <v>148</v>
      </c>
      <c r="E3" s="23" t="s">
        <v>161</v>
      </c>
    </row>
    <row r="4" spans="1:8" x14ac:dyDescent="0.45">
      <c r="A4" s="17" t="s">
        <v>154</v>
      </c>
      <c r="B4" s="24">
        <v>1480000</v>
      </c>
      <c r="C4" s="24">
        <v>1530000</v>
      </c>
      <c r="D4" s="24">
        <v>1450000</v>
      </c>
      <c r="E4" s="29">
        <v>1460000</v>
      </c>
      <c r="F4" s="28">
        <f t="shared" ref="F4:F10" si="0">SUM(B4:E4)</f>
        <v>5920000</v>
      </c>
    </row>
    <row r="5" spans="1:8" x14ac:dyDescent="0.45">
      <c r="A5" s="17" t="s">
        <v>155</v>
      </c>
      <c r="B5" s="24">
        <v>1200000</v>
      </c>
      <c r="C5" s="24">
        <v>1190000</v>
      </c>
      <c r="D5" s="24">
        <v>1250000</v>
      </c>
      <c r="E5" s="29">
        <v>1270000</v>
      </c>
      <c r="F5" s="28">
        <f t="shared" si="0"/>
        <v>4910000</v>
      </c>
    </row>
    <row r="6" spans="1:8" x14ac:dyDescent="0.45">
      <c r="A6" s="17" t="s">
        <v>159</v>
      </c>
      <c r="B6" s="27">
        <v>2670000</v>
      </c>
      <c r="C6" s="27">
        <v>2730000</v>
      </c>
      <c r="D6" s="27">
        <v>2700000</v>
      </c>
      <c r="E6" s="29">
        <f>E4+E5</f>
        <v>2730000</v>
      </c>
      <c r="F6" s="28">
        <f t="shared" si="0"/>
        <v>10830000</v>
      </c>
    </row>
    <row r="7" spans="1:8" x14ac:dyDescent="0.45">
      <c r="A7" s="17" t="s">
        <v>158</v>
      </c>
      <c r="B7" s="24">
        <v>2760000</v>
      </c>
      <c r="C7" s="24">
        <v>2920000</v>
      </c>
      <c r="D7" s="24">
        <v>3330000</v>
      </c>
      <c r="E7" s="29">
        <v>3580000</v>
      </c>
      <c r="F7" s="28">
        <f t="shared" si="0"/>
        <v>12590000</v>
      </c>
      <c r="H7" s="25">
        <f>D7*4</f>
        <v>13320000</v>
      </c>
    </row>
    <row r="8" spans="1:8" x14ac:dyDescent="0.45">
      <c r="A8" s="17" t="s">
        <v>169</v>
      </c>
      <c r="F8" s="28">
        <f t="shared" si="0"/>
        <v>0</v>
      </c>
    </row>
    <row r="9" spans="1:8" x14ac:dyDescent="0.45">
      <c r="A9" s="17" t="s">
        <v>163</v>
      </c>
      <c r="B9" s="5">
        <f>B4/(B$4+B$5)</f>
        <v>0.55223880597014929</v>
      </c>
      <c r="C9" s="5">
        <f t="shared" ref="C9:E10" si="1">C4/(C$4+C$5)</f>
        <v>0.5625</v>
      </c>
      <c r="D9" s="5">
        <f t="shared" si="1"/>
        <v>0.53703703703703709</v>
      </c>
      <c r="E9" s="5">
        <f t="shared" si="1"/>
        <v>0.53479853479853479</v>
      </c>
      <c r="F9" s="28">
        <f t="shared" si="0"/>
        <v>2.1865743778057212</v>
      </c>
    </row>
    <row r="10" spans="1:8" x14ac:dyDescent="0.45">
      <c r="A10" s="17" t="s">
        <v>170</v>
      </c>
      <c r="B10" s="5">
        <f>B5/(B$4+B$5)</f>
        <v>0.44776119402985076</v>
      </c>
      <c r="C10" s="5">
        <f t="shared" si="1"/>
        <v>0.4375</v>
      </c>
      <c r="D10" s="5">
        <f t="shared" si="1"/>
        <v>0.46296296296296297</v>
      </c>
      <c r="E10" s="5">
        <f t="shared" si="1"/>
        <v>0.46520146520146521</v>
      </c>
      <c r="F10" s="28">
        <f t="shared" si="0"/>
        <v>1.8134256221942788</v>
      </c>
    </row>
    <row r="11" spans="1:8" x14ac:dyDescent="0.45">
      <c r="A11" s="17" t="s">
        <v>171</v>
      </c>
      <c r="B11">
        <v>176</v>
      </c>
      <c r="C11">
        <v>176.4</v>
      </c>
      <c r="D11">
        <v>180</v>
      </c>
      <c r="E11" s="29">
        <v>176</v>
      </c>
      <c r="F11" s="39">
        <f>F14/F6</f>
        <v>177.09769159741458</v>
      </c>
    </row>
    <row r="12" spans="1:8" x14ac:dyDescent="0.45">
      <c r="A12" s="30" t="s">
        <v>172</v>
      </c>
      <c r="B12" s="29">
        <f>0.61*B13</f>
        <v>136.8293703633251</v>
      </c>
      <c r="C12" s="29">
        <f>0.61*C13</f>
        <v>137.8433947157726</v>
      </c>
      <c r="D12" s="29">
        <f>0.61*D13</f>
        <v>138.88966971187631</v>
      </c>
      <c r="E12" s="29">
        <f>0.61*E13</f>
        <v>135.65342960288808</v>
      </c>
      <c r="F12" s="28">
        <f t="shared" ref="F12:F21" si="2">SUM(B12:E12)</f>
        <v>549.21586439386215</v>
      </c>
    </row>
    <row r="13" spans="1:8" x14ac:dyDescent="0.45">
      <c r="A13" s="30" t="s">
        <v>173</v>
      </c>
      <c r="B13" s="29">
        <f>B$11/(0.61*B9+B10)</f>
        <v>224.31044321856572</v>
      </c>
      <c r="C13" s="29">
        <f>C$11/(0.61*C9+C10)</f>
        <v>225.97277822257806</v>
      </c>
      <c r="D13" s="29">
        <f>D$11/(0.61*D9+D10)</f>
        <v>227.68798313422346</v>
      </c>
      <c r="E13" s="29">
        <f>E$11/(0.61*E9+E10)</f>
        <v>222.38267148014441</v>
      </c>
      <c r="F13" s="28">
        <f t="shared" si="2"/>
        <v>900.35387605551159</v>
      </c>
    </row>
    <row r="14" spans="1:8" x14ac:dyDescent="0.45">
      <c r="A14" s="17" t="s">
        <v>174</v>
      </c>
      <c r="B14" s="28">
        <f>B4*B12+B5*B13</f>
        <v>471680000</v>
      </c>
      <c r="C14" s="28">
        <f>C4*C12+C5*C13</f>
        <v>479808000</v>
      </c>
      <c r="D14" s="28">
        <f>D4*D12+D5*D13</f>
        <v>486000000</v>
      </c>
      <c r="E14" s="28">
        <f>E4*E12+E5*E13</f>
        <v>480480000</v>
      </c>
      <c r="F14" s="28">
        <f t="shared" si="2"/>
        <v>1917968000</v>
      </c>
    </row>
    <row r="15" spans="1:8" x14ac:dyDescent="0.45">
      <c r="A15" s="17" t="s">
        <v>175</v>
      </c>
      <c r="B15" s="28">
        <v>470000000</v>
      </c>
      <c r="C15" s="28">
        <v>482000000</v>
      </c>
      <c r="D15" s="28">
        <v>488000000</v>
      </c>
      <c r="E15" s="28">
        <v>480480000</v>
      </c>
      <c r="F15" s="28">
        <f t="shared" si="2"/>
        <v>1920480000</v>
      </c>
    </row>
    <row r="16" spans="1:8" x14ac:dyDescent="0.45">
      <c r="A16" s="17" t="s">
        <v>177</v>
      </c>
      <c r="B16" s="28">
        <v>35000000</v>
      </c>
      <c r="C16" s="28">
        <v>37000000</v>
      </c>
      <c r="D16" s="28">
        <v>43000000</v>
      </c>
      <c r="E16" s="32">
        <f>E7*E17</f>
        <v>45663264.217165351</v>
      </c>
      <c r="F16" s="28">
        <f t="shared" si="2"/>
        <v>160663264.21716535</v>
      </c>
    </row>
    <row r="17" spans="1:13" x14ac:dyDescent="0.45">
      <c r="A17" s="30" t="s">
        <v>176</v>
      </c>
      <c r="B17" s="29">
        <f>B16/B7</f>
        <v>12.681159420289855</v>
      </c>
      <c r="C17" s="29">
        <f>C16/C7</f>
        <v>12.671232876712329</v>
      </c>
      <c r="D17" s="29">
        <f>D16/D7</f>
        <v>12.912912912912914</v>
      </c>
      <c r="E17" s="35">
        <f>AVERAGE(B17:D17)</f>
        <v>12.755101736638366</v>
      </c>
      <c r="F17" s="28">
        <f t="shared" si="2"/>
        <v>51.020406946553464</v>
      </c>
    </row>
    <row r="18" spans="1:13" x14ac:dyDescent="0.45">
      <c r="A18" s="17" t="s">
        <v>68</v>
      </c>
      <c r="B18" s="28">
        <v>22000000</v>
      </c>
      <c r="C18" s="28">
        <v>21000000</v>
      </c>
      <c r="D18" s="28">
        <v>20000000</v>
      </c>
      <c r="E18" s="31">
        <f>B18</f>
        <v>22000000</v>
      </c>
      <c r="F18" s="28">
        <f t="shared" si="2"/>
        <v>85000000</v>
      </c>
    </row>
    <row r="19" spans="1:13" x14ac:dyDescent="0.45">
      <c r="A19" s="17" t="s">
        <v>69</v>
      </c>
      <c r="B19" s="28">
        <v>14000000</v>
      </c>
      <c r="C19" s="28">
        <v>14000000</v>
      </c>
      <c r="D19" s="28">
        <v>22000000</v>
      </c>
      <c r="E19" s="31">
        <f>B19</f>
        <v>14000000</v>
      </c>
      <c r="F19" s="28">
        <f t="shared" si="2"/>
        <v>64000000</v>
      </c>
    </row>
    <row r="20" spans="1:13" x14ac:dyDescent="0.45">
      <c r="A20" s="17" t="s">
        <v>178</v>
      </c>
      <c r="B20" s="28">
        <v>2000000</v>
      </c>
      <c r="C20" s="28">
        <v>0</v>
      </c>
      <c r="D20" s="28">
        <v>0</v>
      </c>
      <c r="E20" s="36"/>
      <c r="F20" s="28">
        <f t="shared" si="2"/>
        <v>2000000</v>
      </c>
      <c r="G20" s="31">
        <f>F15+F16+F18+F19</f>
        <v>2230143264.2171655</v>
      </c>
    </row>
    <row r="21" spans="1:13" x14ac:dyDescent="0.45">
      <c r="A21" s="33" t="s">
        <v>70</v>
      </c>
      <c r="B21" s="34">
        <f>B15+B18+B16+B19</f>
        <v>541000000</v>
      </c>
      <c r="C21" s="34">
        <f>C15+C18+C16+C19</f>
        <v>554000000</v>
      </c>
      <c r="D21" s="34">
        <f>D15+D18+D16+D19</f>
        <v>573000000</v>
      </c>
      <c r="E21" s="34">
        <f>E19+E18+E16+E14</f>
        <v>562143264.21716535</v>
      </c>
      <c r="F21" s="28">
        <f t="shared" si="2"/>
        <v>2230143264.2171655</v>
      </c>
    </row>
    <row r="23" spans="1:13" x14ac:dyDescent="0.45">
      <c r="A23" t="s">
        <v>162</v>
      </c>
      <c r="B23" t="s">
        <v>163</v>
      </c>
      <c r="C23" t="s">
        <v>153</v>
      </c>
      <c r="D23" t="s">
        <v>66</v>
      </c>
      <c r="E23" t="s">
        <v>67</v>
      </c>
      <c r="F23" t="s">
        <v>6</v>
      </c>
      <c r="G23" t="s">
        <v>156</v>
      </c>
      <c r="M23" s="38">
        <v>3640000</v>
      </c>
    </row>
    <row r="24" spans="1:13" x14ac:dyDescent="0.45">
      <c r="A24" t="s">
        <v>61</v>
      </c>
      <c r="B24">
        <v>1.48</v>
      </c>
      <c r="C24">
        <v>1.2</v>
      </c>
      <c r="D24">
        <v>2.67</v>
      </c>
      <c r="E24">
        <v>2.76</v>
      </c>
      <c r="F24">
        <v>543.15300000000002</v>
      </c>
    </row>
    <row r="25" spans="1:13" x14ac:dyDescent="0.45">
      <c r="A25" t="s">
        <v>62</v>
      </c>
      <c r="B25">
        <v>1.53</v>
      </c>
      <c r="C25">
        <v>1.19</v>
      </c>
      <c r="D25">
        <v>2.73</v>
      </c>
      <c r="E25">
        <v>2.92</v>
      </c>
      <c r="F25">
        <v>552.98699999999997</v>
      </c>
    </row>
    <row r="26" spans="1:13" x14ac:dyDescent="0.45">
      <c r="A26" t="s">
        <v>109</v>
      </c>
      <c r="B26">
        <v>1.45</v>
      </c>
      <c r="C26">
        <v>1.25</v>
      </c>
      <c r="D26">
        <v>2.7</v>
      </c>
      <c r="E26">
        <v>3.33</v>
      </c>
      <c r="F26">
        <v>572.572</v>
      </c>
    </row>
    <row r="27" spans="1:13" x14ac:dyDescent="0.45">
      <c r="A27" t="s">
        <v>160</v>
      </c>
      <c r="B27">
        <v>1.45</v>
      </c>
      <c r="C27">
        <v>1.27</v>
      </c>
      <c r="D27">
        <v>2.7199999999999998</v>
      </c>
      <c r="E27">
        <v>3.58</v>
      </c>
    </row>
    <row r="28" spans="1:13" x14ac:dyDescent="0.45">
      <c r="A28" s="24">
        <v>1000000</v>
      </c>
    </row>
    <row r="29" spans="1:13" x14ac:dyDescent="0.45">
      <c r="A29" t="s">
        <v>61</v>
      </c>
      <c r="B29" s="24">
        <f t="shared" ref="B29:F31" si="3">$A$28*B24</f>
        <v>1480000</v>
      </c>
      <c r="C29" s="24">
        <f t="shared" si="3"/>
        <v>1200000</v>
      </c>
      <c r="D29" s="24">
        <f t="shared" si="3"/>
        <v>2670000</v>
      </c>
      <c r="E29" s="24">
        <f t="shared" si="3"/>
        <v>2760000</v>
      </c>
      <c r="F29" s="24">
        <f t="shared" si="3"/>
        <v>543153000</v>
      </c>
      <c r="G29" s="24"/>
    </row>
    <row r="30" spans="1:13" x14ac:dyDescent="0.45">
      <c r="A30" t="s">
        <v>62</v>
      </c>
      <c r="B30" s="24">
        <f t="shared" si="3"/>
        <v>1530000</v>
      </c>
      <c r="C30" s="24">
        <f t="shared" si="3"/>
        <v>1190000</v>
      </c>
      <c r="D30" s="24">
        <f t="shared" si="3"/>
        <v>2730000</v>
      </c>
      <c r="E30" s="24">
        <f t="shared" si="3"/>
        <v>2920000</v>
      </c>
      <c r="F30" s="24">
        <f t="shared" si="3"/>
        <v>552987000</v>
      </c>
      <c r="G30" s="24">
        <v>37000000</v>
      </c>
      <c r="H30" s="24">
        <f>G30/E30</f>
        <v>12.671232876712329</v>
      </c>
    </row>
    <row r="31" spans="1:13" x14ac:dyDescent="0.45">
      <c r="A31" t="s">
        <v>109</v>
      </c>
      <c r="B31" s="24">
        <f t="shared" si="3"/>
        <v>1450000</v>
      </c>
      <c r="C31" s="24">
        <f t="shared" si="3"/>
        <v>1250000</v>
      </c>
      <c r="D31" s="24">
        <f t="shared" si="3"/>
        <v>2700000</v>
      </c>
      <c r="E31" s="24">
        <f t="shared" si="3"/>
        <v>3330000</v>
      </c>
      <c r="F31" s="24">
        <f t="shared" si="3"/>
        <v>572572000</v>
      </c>
      <c r="G31" s="24">
        <v>43000000</v>
      </c>
      <c r="H31" s="24">
        <f>G31/E31</f>
        <v>12.912912912912914</v>
      </c>
    </row>
    <row r="33" spans="1:7" x14ac:dyDescent="0.45">
      <c r="A33">
        <v>139.85</v>
      </c>
      <c r="B33" s="25">
        <f>$A$33*B29</f>
        <v>206978000</v>
      </c>
      <c r="C33" s="25">
        <f>$A$34*C29</f>
        <v>275124000</v>
      </c>
      <c r="D33" s="25">
        <f>E29*12.7920728948126</f>
        <v>35306121.189682774</v>
      </c>
      <c r="E33">
        <v>22000000</v>
      </c>
      <c r="F33">
        <v>14000000</v>
      </c>
      <c r="G33" s="25">
        <f>SUM(B33:F33)</f>
        <v>553408121.18968272</v>
      </c>
    </row>
    <row r="34" spans="1:7" x14ac:dyDescent="0.45">
      <c r="A34">
        <v>229.27</v>
      </c>
      <c r="B34" s="25">
        <f>$A$33*B30</f>
        <v>213970500</v>
      </c>
      <c r="C34" s="25">
        <f>$A$34*C30</f>
        <v>272831300</v>
      </c>
      <c r="D34" s="25">
        <f>E30*12.7920728948126</f>
        <v>37352852.852852792</v>
      </c>
      <c r="E34">
        <v>21000000</v>
      </c>
      <c r="F34">
        <v>14000000</v>
      </c>
      <c r="G34" s="25">
        <f>SUM(B34:F34)</f>
        <v>559154652.85285282</v>
      </c>
    </row>
    <row r="35" spans="1:7" x14ac:dyDescent="0.45">
      <c r="B35" s="25">
        <f>$A$33*B31</f>
        <v>202782500</v>
      </c>
      <c r="C35" s="25">
        <f>$A$34*C31</f>
        <v>286587500</v>
      </c>
      <c r="D35" s="25">
        <f>E31*12.7920728948126</f>
        <v>42597602.739725955</v>
      </c>
      <c r="E35" s="24">
        <v>20000000</v>
      </c>
      <c r="F35" s="24">
        <v>22000000</v>
      </c>
      <c r="G35" s="25">
        <f>SUM(B35:F35)</f>
        <v>573967602.73972595</v>
      </c>
    </row>
    <row r="37" spans="1:7" x14ac:dyDescent="0.45">
      <c r="A37" s="5" t="s">
        <v>164</v>
      </c>
      <c r="B37" s="26">
        <f t="shared" ref="B37:C39" si="4">B29/$D29</f>
        <v>0.55430711610486894</v>
      </c>
      <c r="C37" s="26">
        <f t="shared" si="4"/>
        <v>0.449438202247191</v>
      </c>
    </row>
    <row r="38" spans="1:7" x14ac:dyDescent="0.45">
      <c r="A38" s="5"/>
      <c r="B38" s="26">
        <f t="shared" si="4"/>
        <v>0.56043956043956045</v>
      </c>
      <c r="C38" s="26">
        <f t="shared" si="4"/>
        <v>0.4358974358974359</v>
      </c>
    </row>
    <row r="39" spans="1:7" x14ac:dyDescent="0.45">
      <c r="B39" s="26">
        <f t="shared" si="4"/>
        <v>0.53703703703703709</v>
      </c>
      <c r="C39" s="26">
        <f t="shared" si="4"/>
        <v>0.46296296296296297</v>
      </c>
    </row>
    <row r="40" spans="1:7" x14ac:dyDescent="0.45">
      <c r="A40" s="5"/>
    </row>
    <row r="41" spans="1:7" x14ac:dyDescent="0.45">
      <c r="A41" t="s">
        <v>165</v>
      </c>
      <c r="B41">
        <v>180</v>
      </c>
      <c r="C41">
        <v>176.4</v>
      </c>
      <c r="D41">
        <v>176</v>
      </c>
    </row>
    <row r="42" spans="1:7" x14ac:dyDescent="0.45">
      <c r="A42" t="s">
        <v>166</v>
      </c>
      <c r="B42">
        <f>0.61*C42</f>
        <v>139.4169678523873</v>
      </c>
      <c r="C42">
        <f>B41/(0.61*B37+C37)</f>
        <v>228.55240631538902</v>
      </c>
    </row>
    <row r="43" spans="1:7" x14ac:dyDescent="0.45">
      <c r="A43" t="s">
        <v>167</v>
      </c>
    </row>
    <row r="44" spans="1:7" x14ac:dyDescent="0.45">
      <c r="A44" t="s">
        <v>168</v>
      </c>
    </row>
  </sheetData>
  <pageMargins left="0.7" right="0.7" top="0.75" bottom="0.75" header="0.3" footer="0.3"/>
  <legacy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3685A6-B3EC-4E3E-B2D7-657563C2B2DD}">
  <dimension ref="A2:K31"/>
  <sheetViews>
    <sheetView workbookViewId="0">
      <selection activeCell="B9" sqref="B9:C9"/>
    </sheetView>
  </sheetViews>
  <sheetFormatPr defaultRowHeight="14.25" x14ac:dyDescent="0.45"/>
  <cols>
    <col min="1" max="1" width="20.73046875" bestFit="1" customWidth="1"/>
    <col min="2" max="11" width="6.73046875" bestFit="1" customWidth="1"/>
    <col min="12" max="13" width="8.9296875" bestFit="1" customWidth="1"/>
  </cols>
  <sheetData>
    <row r="2" spans="1:11" x14ac:dyDescent="0.45">
      <c r="A2" t="s">
        <v>6</v>
      </c>
      <c r="B2" s="5">
        <f>B4/C4-1</f>
        <v>1.7474633596392231E-2</v>
      </c>
      <c r="C2" s="5">
        <f t="shared" ref="C2:J2" si="0">C4/D4-1</f>
        <v>2.2478386167146924E-2</v>
      </c>
      <c r="D2" s="5">
        <f t="shared" si="0"/>
        <v>8.0996884735202501E-2</v>
      </c>
      <c r="E2" s="5">
        <f t="shared" si="0"/>
        <v>4.4242029928432069E-2</v>
      </c>
      <c r="F2" s="10">
        <f t="shared" si="0"/>
        <v>0.13851851851851849</v>
      </c>
      <c r="G2" s="5">
        <f t="shared" si="0"/>
        <v>-6.960716747070983E-2</v>
      </c>
      <c r="H2" s="5">
        <f t="shared" si="0"/>
        <v>-5.533854166666663E-2</v>
      </c>
      <c r="I2" s="10">
        <f t="shared" si="0"/>
        <v>0.1671732522796352</v>
      </c>
      <c r="J2" s="5">
        <f t="shared" si="0"/>
        <v>5.1958433253397329E-2</v>
      </c>
      <c r="K2" s="5"/>
    </row>
    <row r="3" spans="1:11" x14ac:dyDescent="0.45">
      <c r="A3" t="s">
        <v>65</v>
      </c>
      <c r="B3">
        <v>2023</v>
      </c>
      <c r="C3">
        <v>2022</v>
      </c>
      <c r="D3">
        <v>2021</v>
      </c>
      <c r="E3">
        <v>2020</v>
      </c>
      <c r="F3">
        <v>2019</v>
      </c>
      <c r="G3">
        <v>2018</v>
      </c>
      <c r="H3">
        <v>2017</v>
      </c>
      <c r="I3">
        <v>2016</v>
      </c>
      <c r="J3">
        <v>2015</v>
      </c>
      <c r="K3">
        <v>2014</v>
      </c>
    </row>
    <row r="4" spans="1:11" x14ac:dyDescent="0.45">
      <c r="A4" t="s">
        <v>66</v>
      </c>
      <c r="B4" s="2">
        <v>1805</v>
      </c>
      <c r="C4" s="2">
        <v>1774</v>
      </c>
      <c r="D4" s="2">
        <v>1735</v>
      </c>
      <c r="E4">
        <v>1605</v>
      </c>
      <c r="F4" s="2">
        <v>1537</v>
      </c>
      <c r="G4" s="2">
        <v>1350</v>
      </c>
      <c r="H4" s="2">
        <v>1451</v>
      </c>
      <c r="I4" s="2">
        <v>1536</v>
      </c>
      <c r="J4" s="2">
        <v>1316</v>
      </c>
      <c r="K4" s="2">
        <v>1251</v>
      </c>
    </row>
    <row r="5" spans="1:11" x14ac:dyDescent="0.45">
      <c r="A5" t="s">
        <v>67</v>
      </c>
      <c r="B5">
        <v>139</v>
      </c>
      <c r="C5">
        <v>155</v>
      </c>
      <c r="D5">
        <v>134</v>
      </c>
      <c r="E5">
        <v>116</v>
      </c>
      <c r="F5">
        <v>122</v>
      </c>
      <c r="G5">
        <v>143</v>
      </c>
      <c r="H5">
        <v>145</v>
      </c>
      <c r="I5">
        <v>147</v>
      </c>
      <c r="J5">
        <v>144</v>
      </c>
      <c r="K5">
        <v>137</v>
      </c>
    </row>
    <row r="6" spans="1:11" x14ac:dyDescent="0.45">
      <c r="A6" t="s">
        <v>68</v>
      </c>
      <c r="B6">
        <v>91</v>
      </c>
      <c r="C6">
        <v>76</v>
      </c>
      <c r="D6">
        <v>65</v>
      </c>
      <c r="E6">
        <v>76</v>
      </c>
      <c r="F6">
        <v>83</v>
      </c>
      <c r="G6">
        <v>77</v>
      </c>
      <c r="H6">
        <v>78</v>
      </c>
      <c r="I6">
        <v>84</v>
      </c>
      <c r="J6">
        <v>82</v>
      </c>
      <c r="K6">
        <v>77</v>
      </c>
    </row>
    <row r="7" spans="1:11" x14ac:dyDescent="0.45">
      <c r="A7" t="s">
        <v>69</v>
      </c>
      <c r="B7">
        <v>54</v>
      </c>
      <c r="C7">
        <v>50</v>
      </c>
      <c r="D7">
        <v>43</v>
      </c>
      <c r="E7">
        <v>39</v>
      </c>
      <c r="F7">
        <v>41</v>
      </c>
      <c r="G7">
        <v>45</v>
      </c>
      <c r="H7">
        <v>42</v>
      </c>
      <c r="I7">
        <v>37</v>
      </c>
      <c r="J7">
        <v>35</v>
      </c>
      <c r="K7">
        <v>38</v>
      </c>
    </row>
    <row r="8" spans="1:11" x14ac:dyDescent="0.45">
      <c r="A8" t="s">
        <v>70</v>
      </c>
      <c r="B8" s="2">
        <v>2089</v>
      </c>
      <c r="C8" s="2">
        <v>2055</v>
      </c>
      <c r="D8" s="2">
        <v>1978</v>
      </c>
      <c r="E8">
        <v>1836</v>
      </c>
      <c r="F8" s="2">
        <v>1783</v>
      </c>
      <c r="G8" s="2">
        <v>1615</v>
      </c>
      <c r="H8" s="2">
        <v>1716</v>
      </c>
      <c r="I8" s="2">
        <v>1804</v>
      </c>
      <c r="J8" s="2">
        <v>1578</v>
      </c>
      <c r="K8" s="2">
        <v>1503</v>
      </c>
    </row>
    <row r="9" spans="1:11" x14ac:dyDescent="0.45">
      <c r="A9" t="s">
        <v>71</v>
      </c>
      <c r="B9">
        <v>63</v>
      </c>
      <c r="C9">
        <v>14</v>
      </c>
      <c r="D9">
        <v>44</v>
      </c>
      <c r="E9">
        <v>139</v>
      </c>
      <c r="F9">
        <v>0</v>
      </c>
      <c r="G9">
        <v>0</v>
      </c>
      <c r="H9">
        <v>373</v>
      </c>
      <c r="I9">
        <v>231</v>
      </c>
      <c r="J9">
        <v>104</v>
      </c>
      <c r="K9">
        <v>59</v>
      </c>
    </row>
    <row r="10" spans="1:11" x14ac:dyDescent="0.45">
      <c r="A10" t="s">
        <v>63</v>
      </c>
      <c r="B10" s="2">
        <v>2152</v>
      </c>
      <c r="C10" s="2">
        <v>2069</v>
      </c>
      <c r="D10" s="2">
        <v>2022</v>
      </c>
      <c r="E10" s="2">
        <v>1975</v>
      </c>
      <c r="F10" s="2">
        <v>1783</v>
      </c>
      <c r="G10" s="2">
        <v>1615</v>
      </c>
      <c r="H10" s="2">
        <v>2089</v>
      </c>
      <c r="I10" s="2">
        <v>2035</v>
      </c>
      <c r="J10" s="2">
        <v>1682</v>
      </c>
      <c r="K10" s="2">
        <v>1562</v>
      </c>
    </row>
    <row r="12" spans="1:11" x14ac:dyDescent="0.45">
      <c r="A12" t="s">
        <v>66</v>
      </c>
      <c r="B12" s="9">
        <f>B4/B$10</f>
        <v>0.83875464684014867</v>
      </c>
      <c r="C12" s="9">
        <f t="shared" ref="C12:I12" si="1">C4/C$10</f>
        <v>0.85741904301594973</v>
      </c>
      <c r="D12" s="9">
        <f t="shared" si="1"/>
        <v>0.85806132542037583</v>
      </c>
      <c r="E12" s="9">
        <f t="shared" si="1"/>
        <v>0.81265822784810127</v>
      </c>
      <c r="F12" s="9">
        <f t="shared" si="1"/>
        <v>0.86203028603477283</v>
      </c>
      <c r="G12" s="9">
        <f t="shared" si="1"/>
        <v>0.83591331269349844</v>
      </c>
      <c r="H12" s="9">
        <f t="shared" si="1"/>
        <v>0.69459071325993293</v>
      </c>
      <c r="I12" s="9">
        <f t="shared" si="1"/>
        <v>0.75479115479115477</v>
      </c>
      <c r="J12" s="9">
        <f t="shared" ref="J12:K15" si="2">J4/J$10</f>
        <v>0.78240190249702735</v>
      </c>
      <c r="K12" s="9">
        <f t="shared" si="2"/>
        <v>0.80089628681177982</v>
      </c>
    </row>
    <row r="13" spans="1:11" x14ac:dyDescent="0.45">
      <c r="A13" t="s">
        <v>67</v>
      </c>
      <c r="B13" s="9">
        <f t="shared" ref="B13:I15" si="3">B5/B$10</f>
        <v>6.4591078066914498E-2</v>
      </c>
      <c r="C13" s="9">
        <f t="shared" si="3"/>
        <v>7.4915418076365398E-2</v>
      </c>
      <c r="D13" s="9">
        <f t="shared" si="3"/>
        <v>6.6271018793273989E-2</v>
      </c>
      <c r="E13" s="9">
        <f t="shared" si="3"/>
        <v>5.8734177215189871E-2</v>
      </c>
      <c r="F13" s="9">
        <f t="shared" si="3"/>
        <v>6.842400448681997E-2</v>
      </c>
      <c r="G13" s="9">
        <f t="shared" si="3"/>
        <v>8.8544891640866874E-2</v>
      </c>
      <c r="H13" s="9">
        <f t="shared" si="3"/>
        <v>6.9411201531833416E-2</v>
      </c>
      <c r="I13" s="9">
        <f t="shared" si="3"/>
        <v>7.2235872235872231E-2</v>
      </c>
      <c r="J13" s="9">
        <f t="shared" si="2"/>
        <v>8.5612366230677764E-2</v>
      </c>
      <c r="K13" s="9">
        <f t="shared" si="2"/>
        <v>8.7708066581306018E-2</v>
      </c>
    </row>
    <row r="14" spans="1:11" x14ac:dyDescent="0.45">
      <c r="A14" t="s">
        <v>68</v>
      </c>
      <c r="B14" s="9">
        <f t="shared" si="3"/>
        <v>4.2286245353159849E-2</v>
      </c>
      <c r="C14" s="9">
        <f t="shared" si="3"/>
        <v>3.6732721121314642E-2</v>
      </c>
      <c r="D14" s="9">
        <f t="shared" si="3"/>
        <v>3.2146389713155289E-2</v>
      </c>
      <c r="E14" s="9">
        <f t="shared" si="3"/>
        <v>3.8481012658227849E-2</v>
      </c>
      <c r="F14" s="9">
        <f t="shared" si="3"/>
        <v>4.6550757150869322E-2</v>
      </c>
      <c r="G14" s="9">
        <f t="shared" si="3"/>
        <v>4.767801857585139E-2</v>
      </c>
      <c r="H14" s="9">
        <f t="shared" si="3"/>
        <v>3.7338439444710388E-2</v>
      </c>
      <c r="I14" s="9">
        <f t="shared" si="3"/>
        <v>4.1277641277641275E-2</v>
      </c>
      <c r="J14" s="9">
        <f t="shared" si="2"/>
        <v>4.8751486325802618E-2</v>
      </c>
      <c r="K14" s="9">
        <f t="shared" si="2"/>
        <v>4.9295774647887321E-2</v>
      </c>
    </row>
    <row r="15" spans="1:11" x14ac:dyDescent="0.45">
      <c r="A15" t="s">
        <v>69</v>
      </c>
      <c r="B15" s="9">
        <f t="shared" si="3"/>
        <v>2.5092936802973979E-2</v>
      </c>
      <c r="C15" s="9">
        <f t="shared" si="3"/>
        <v>2.4166263895601739E-2</v>
      </c>
      <c r="D15" s="9">
        <f t="shared" si="3"/>
        <v>2.1266073194856579E-2</v>
      </c>
      <c r="E15" s="9">
        <f t="shared" si="3"/>
        <v>1.9746835443037975E-2</v>
      </c>
      <c r="F15" s="9">
        <f t="shared" si="3"/>
        <v>2.2994952327537857E-2</v>
      </c>
      <c r="G15" s="9">
        <f t="shared" si="3"/>
        <v>2.7863777089783281E-2</v>
      </c>
      <c r="H15" s="9">
        <f t="shared" si="3"/>
        <v>2.0105313547151747E-2</v>
      </c>
      <c r="I15" s="9">
        <f t="shared" si="3"/>
        <v>1.8181818181818181E-2</v>
      </c>
      <c r="J15" s="9">
        <f t="shared" si="2"/>
        <v>2.0808561236623068E-2</v>
      </c>
      <c r="K15" s="9">
        <f t="shared" si="2"/>
        <v>2.4327784891165175E-2</v>
      </c>
    </row>
    <row r="16" spans="1:11" x14ac:dyDescent="0.45">
      <c r="A16" t="s">
        <v>71</v>
      </c>
      <c r="B16" s="9">
        <f>B9/B$10</f>
        <v>2.9275092936802975E-2</v>
      </c>
      <c r="C16" s="9">
        <f t="shared" ref="C16:I16" si="4">C9/C$10</f>
        <v>6.7665538907684874E-3</v>
      </c>
      <c r="D16" s="9">
        <f t="shared" si="4"/>
        <v>2.1760633036597428E-2</v>
      </c>
      <c r="E16" s="9">
        <f t="shared" si="4"/>
        <v>7.0379746835443041E-2</v>
      </c>
      <c r="F16" s="9">
        <f t="shared" si="4"/>
        <v>0</v>
      </c>
      <c r="G16" s="9">
        <f t="shared" si="4"/>
        <v>0</v>
      </c>
      <c r="H16" s="9">
        <f t="shared" si="4"/>
        <v>0.17855433221637146</v>
      </c>
      <c r="I16" s="9">
        <f t="shared" si="4"/>
        <v>0.11351351351351352</v>
      </c>
      <c r="J16" s="9">
        <f>J9/J$10</f>
        <v>6.1831153388822828E-2</v>
      </c>
      <c r="K16" s="9">
        <f>K9/K$10</f>
        <v>3.7772087067861719E-2</v>
      </c>
    </row>
    <row r="18" spans="1:9" x14ac:dyDescent="0.45">
      <c r="A18" t="s">
        <v>65</v>
      </c>
      <c r="B18">
        <v>2023</v>
      </c>
      <c r="C18">
        <v>2022</v>
      </c>
      <c r="D18">
        <v>2021</v>
      </c>
      <c r="E18">
        <v>2020</v>
      </c>
      <c r="F18">
        <v>2019</v>
      </c>
      <c r="G18">
        <v>2018</v>
      </c>
      <c r="H18">
        <v>2017</v>
      </c>
      <c r="I18">
        <v>2016</v>
      </c>
    </row>
    <row r="19" spans="1:9" x14ac:dyDescent="0.45">
      <c r="A19" t="s">
        <v>66</v>
      </c>
      <c r="B19">
        <v>113</v>
      </c>
      <c r="C19">
        <v>107</v>
      </c>
      <c r="D19">
        <v>105</v>
      </c>
      <c r="E19">
        <v>98</v>
      </c>
      <c r="F19">
        <v>94</v>
      </c>
      <c r="G19">
        <v>89</v>
      </c>
      <c r="H19">
        <v>282</v>
      </c>
      <c r="I19">
        <v>331</v>
      </c>
    </row>
    <row r="20" spans="1:9" x14ac:dyDescent="0.45">
      <c r="A20" t="s">
        <v>67</v>
      </c>
      <c r="B20">
        <v>14</v>
      </c>
      <c r="C20">
        <v>19</v>
      </c>
      <c r="D20">
        <v>18</v>
      </c>
      <c r="E20">
        <v>14</v>
      </c>
      <c r="F20">
        <v>18</v>
      </c>
      <c r="G20">
        <v>21</v>
      </c>
      <c r="H20">
        <v>22</v>
      </c>
      <c r="I20">
        <v>22</v>
      </c>
    </row>
    <row r="21" spans="1:9" x14ac:dyDescent="0.45">
      <c r="A21" t="s">
        <v>68</v>
      </c>
      <c r="B21">
        <v>14</v>
      </c>
      <c r="C21">
        <v>16</v>
      </c>
      <c r="D21">
        <v>12</v>
      </c>
      <c r="E21">
        <v>9</v>
      </c>
      <c r="F21">
        <v>7</v>
      </c>
      <c r="G21">
        <v>29</v>
      </c>
      <c r="H21">
        <v>33</v>
      </c>
      <c r="I21">
        <v>36</v>
      </c>
    </row>
    <row r="22" spans="1:9" x14ac:dyDescent="0.45">
      <c r="A22" t="s">
        <v>74</v>
      </c>
      <c r="B22">
        <v>164</v>
      </c>
      <c r="C22">
        <v>201</v>
      </c>
      <c r="D22">
        <v>119</v>
      </c>
      <c r="E22">
        <v>79</v>
      </c>
      <c r="F22">
        <v>105</v>
      </c>
      <c r="G22">
        <v>103</v>
      </c>
      <c r="H22">
        <v>81</v>
      </c>
      <c r="I22">
        <v>64</v>
      </c>
    </row>
    <row r="23" spans="1:9" x14ac:dyDescent="0.45">
      <c r="A23" t="s">
        <v>75</v>
      </c>
      <c r="B23">
        <v>59</v>
      </c>
      <c r="C23">
        <v>49</v>
      </c>
      <c r="D23">
        <v>45</v>
      </c>
      <c r="E23">
        <v>45</v>
      </c>
      <c r="F23">
        <v>39</v>
      </c>
      <c r="G23">
        <v>35</v>
      </c>
      <c r="H23">
        <v>32</v>
      </c>
      <c r="I23">
        <v>33</v>
      </c>
    </row>
    <row r="24" spans="1:9" x14ac:dyDescent="0.45">
      <c r="A24" t="s">
        <v>76</v>
      </c>
      <c r="B24">
        <v>286</v>
      </c>
      <c r="C24">
        <v>267</v>
      </c>
      <c r="D24">
        <v>251</v>
      </c>
      <c r="E24">
        <v>238</v>
      </c>
      <c r="F24">
        <v>213</v>
      </c>
      <c r="G24">
        <v>196</v>
      </c>
      <c r="H24">
        <v>179</v>
      </c>
      <c r="I24">
        <v>182</v>
      </c>
    </row>
    <row r="25" spans="1:9" x14ac:dyDescent="0.45">
      <c r="A25" t="s">
        <v>77</v>
      </c>
      <c r="B25">
        <v>203</v>
      </c>
      <c r="C25">
        <v>206</v>
      </c>
      <c r="D25">
        <v>197</v>
      </c>
      <c r="E25">
        <v>191</v>
      </c>
      <c r="F25">
        <v>195</v>
      </c>
      <c r="G25">
        <v>187</v>
      </c>
      <c r="H25">
        <v>161</v>
      </c>
      <c r="I25">
        <v>145</v>
      </c>
    </row>
    <row r="26" spans="1:9" x14ac:dyDescent="0.45">
      <c r="A26" t="s">
        <v>78</v>
      </c>
      <c r="B26">
        <v>853</v>
      </c>
      <c r="C26">
        <v>866</v>
      </c>
      <c r="D26">
        <v>747</v>
      </c>
      <c r="E26">
        <v>674</v>
      </c>
      <c r="F26">
        <v>671</v>
      </c>
      <c r="G26">
        <v>660</v>
      </c>
      <c r="H26">
        <v>790</v>
      </c>
      <c r="I26">
        <v>813</v>
      </c>
    </row>
    <row r="27" spans="1:9" x14ac:dyDescent="0.45">
      <c r="A27" t="s">
        <v>71</v>
      </c>
      <c r="B27">
        <v>63</v>
      </c>
      <c r="C27">
        <v>13</v>
      </c>
      <c r="D27">
        <v>44</v>
      </c>
      <c r="E27">
        <v>138</v>
      </c>
      <c r="F27">
        <v>0</v>
      </c>
      <c r="G27">
        <v>0</v>
      </c>
      <c r="H27">
        <v>373</v>
      </c>
      <c r="I27">
        <v>231</v>
      </c>
    </row>
    <row r="28" spans="1:9" x14ac:dyDescent="0.45">
      <c r="A28" t="s">
        <v>79</v>
      </c>
      <c r="B28">
        <v>916</v>
      </c>
      <c r="C28">
        <v>879</v>
      </c>
      <c r="D28">
        <v>791</v>
      </c>
      <c r="E28">
        <v>812</v>
      </c>
      <c r="F28">
        <v>671</v>
      </c>
      <c r="G28">
        <v>660</v>
      </c>
      <c r="H28" s="2">
        <v>1163</v>
      </c>
      <c r="I28" s="2">
        <v>1044</v>
      </c>
    </row>
    <row r="30" spans="1:9" x14ac:dyDescent="0.45">
      <c r="A30" t="s">
        <v>66</v>
      </c>
      <c r="B30" s="9">
        <f t="shared" ref="B30:I30" si="5">B19/B4</f>
        <v>6.2603878116343492E-2</v>
      </c>
      <c r="C30" s="9">
        <f t="shared" si="5"/>
        <v>6.0315670800450957E-2</v>
      </c>
      <c r="D30" s="9">
        <f t="shared" si="5"/>
        <v>6.0518731988472622E-2</v>
      </c>
      <c r="E30" s="9">
        <f t="shared" si="5"/>
        <v>6.1059190031152649E-2</v>
      </c>
      <c r="F30" s="9">
        <f t="shared" si="5"/>
        <v>6.1158100195185423E-2</v>
      </c>
      <c r="G30" s="9">
        <f t="shared" si="5"/>
        <v>6.5925925925925929E-2</v>
      </c>
      <c r="H30" s="9">
        <f t="shared" si="5"/>
        <v>0.1943487250172295</v>
      </c>
      <c r="I30" s="9">
        <f t="shared" si="5"/>
        <v>0.21549479166666666</v>
      </c>
    </row>
    <row r="31" spans="1:9" x14ac:dyDescent="0.45">
      <c r="A31" t="s">
        <v>79</v>
      </c>
      <c r="B31" s="9">
        <f t="shared" ref="B31:I31" si="6">B28/B10</f>
        <v>0.42565055762081783</v>
      </c>
      <c r="C31" s="9">
        <f t="shared" si="6"/>
        <v>0.4248429192846786</v>
      </c>
      <c r="D31" s="9">
        <f t="shared" si="6"/>
        <v>0.39119683481701284</v>
      </c>
      <c r="E31" s="9">
        <f t="shared" si="6"/>
        <v>0.41113924050632911</v>
      </c>
      <c r="F31" s="9">
        <f t="shared" si="6"/>
        <v>0.37633202467750981</v>
      </c>
      <c r="G31" s="9">
        <f t="shared" si="6"/>
        <v>0.4086687306501548</v>
      </c>
      <c r="H31" s="9">
        <f t="shared" si="6"/>
        <v>0.55672570607946381</v>
      </c>
      <c r="I31" s="9">
        <f t="shared" si="6"/>
        <v>0.51302211302211298</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D01DDE-5EFA-4D79-8D1D-8AA5FB0A30C8}">
  <sheetPr>
    <tabColor theme="2"/>
  </sheetPr>
  <dimension ref="A160"/>
  <sheetViews>
    <sheetView topLeftCell="A201" zoomScale="85" zoomScaleNormal="85" workbookViewId="0">
      <selection activeCell="H226" sqref="H226"/>
    </sheetView>
  </sheetViews>
  <sheetFormatPr defaultRowHeight="14.25" x14ac:dyDescent="0.45"/>
  <sheetData>
    <row r="160" spans="1:1" x14ac:dyDescent="0.45">
      <c r="A160" s="1"/>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BD6EBB-DAE5-44F0-869E-28DA229B35B4}">
  <dimension ref="A1:K12"/>
  <sheetViews>
    <sheetView workbookViewId="0">
      <selection activeCell="K12" sqref="K12"/>
    </sheetView>
  </sheetViews>
  <sheetFormatPr defaultRowHeight="14.25" x14ac:dyDescent="0.45"/>
  <cols>
    <col min="1" max="1" width="35.33203125" bestFit="1" customWidth="1"/>
    <col min="2" max="4" width="6.265625" bestFit="1" customWidth="1"/>
    <col min="5" max="6" width="9.265625" bestFit="1" customWidth="1"/>
    <col min="7" max="9" width="8.265625" bestFit="1" customWidth="1"/>
  </cols>
  <sheetData>
    <row r="1" spans="1:11" x14ac:dyDescent="0.45">
      <c r="A1" t="s">
        <v>81</v>
      </c>
      <c r="B1">
        <v>2014</v>
      </c>
      <c r="C1">
        <v>2015</v>
      </c>
      <c r="D1">
        <v>2016</v>
      </c>
      <c r="E1">
        <v>2017</v>
      </c>
      <c r="F1">
        <v>2018</v>
      </c>
      <c r="G1">
        <v>2019</v>
      </c>
      <c r="H1">
        <v>2020</v>
      </c>
      <c r="I1">
        <v>2021</v>
      </c>
      <c r="J1">
        <v>2022</v>
      </c>
      <c r="K1">
        <v>2023</v>
      </c>
    </row>
    <row r="2" spans="1:11" x14ac:dyDescent="0.45">
      <c r="A2" t="s">
        <v>3</v>
      </c>
      <c r="B2" s="6">
        <v>5.9</v>
      </c>
      <c r="C2" s="6">
        <v>6.6</v>
      </c>
      <c r="D2" s="6">
        <v>7.39</v>
      </c>
      <c r="E2" s="6">
        <v>6.22</v>
      </c>
      <c r="F2" s="6">
        <v>6.226</v>
      </c>
      <c r="G2" s="6">
        <v>7.23</v>
      </c>
      <c r="H2" s="6">
        <v>6.7510000000000003</v>
      </c>
      <c r="I2" s="6">
        <v>6.75</v>
      </c>
      <c r="J2" s="6">
        <v>6.0839999999999996</v>
      </c>
      <c r="K2" s="6">
        <v>6.3479999999999999</v>
      </c>
    </row>
    <row r="3" spans="1:11" x14ac:dyDescent="0.45">
      <c r="A3" t="s">
        <v>4</v>
      </c>
      <c r="B3" s="6">
        <v>2.5</v>
      </c>
      <c r="C3" s="6">
        <v>2.5</v>
      </c>
      <c r="D3" s="6">
        <v>2.556</v>
      </c>
      <c r="E3" s="6">
        <v>2.8050000000000002</v>
      </c>
      <c r="F3" s="6">
        <v>3.298</v>
      </c>
      <c r="G3" s="6">
        <v>3.6309999999999998</v>
      </c>
      <c r="H3" s="6">
        <v>3.7530000000000001</v>
      </c>
      <c r="I3" s="6">
        <v>3.65</v>
      </c>
      <c r="J3" s="6">
        <v>3.968</v>
      </c>
      <c r="K3" s="6">
        <v>4.5289999999999999</v>
      </c>
    </row>
    <row r="4" spans="1:11" x14ac:dyDescent="0.45">
      <c r="A4" t="s">
        <v>5</v>
      </c>
      <c r="B4" s="6">
        <v>8.4</v>
      </c>
      <c r="C4" s="6">
        <v>9.1</v>
      </c>
      <c r="D4" s="6">
        <v>9.9459999999999997</v>
      </c>
      <c r="E4" s="6">
        <v>9.0250000000000004</v>
      </c>
      <c r="F4" s="6">
        <v>9.5239999999999991</v>
      </c>
      <c r="G4" s="6">
        <v>10.861000000000001</v>
      </c>
      <c r="H4" s="6">
        <v>10.504</v>
      </c>
      <c r="I4" s="6">
        <v>10.4</v>
      </c>
      <c r="J4" s="6">
        <v>10.052</v>
      </c>
      <c r="K4" s="6">
        <v>10.875999999999999</v>
      </c>
    </row>
    <row r="5" spans="1:11" x14ac:dyDescent="0.45">
      <c r="A5" t="s">
        <v>2</v>
      </c>
      <c r="B5" s="6">
        <v>11</v>
      </c>
      <c r="C5" s="6">
        <v>11</v>
      </c>
      <c r="D5" s="4">
        <v>12</v>
      </c>
      <c r="E5" s="4">
        <v>13</v>
      </c>
      <c r="F5" s="4">
        <v>14</v>
      </c>
      <c r="G5" s="4">
        <v>13.9</v>
      </c>
      <c r="H5" s="4">
        <v>13.6</v>
      </c>
      <c r="I5" s="4">
        <v>13.6</v>
      </c>
      <c r="J5" s="4">
        <v>13.7</v>
      </c>
      <c r="K5" s="4">
        <v>13.7</v>
      </c>
    </row>
    <row r="6" spans="1:11" x14ac:dyDescent="0.45">
      <c r="A6" t="s">
        <v>0</v>
      </c>
      <c r="B6" s="3">
        <v>0.76</v>
      </c>
      <c r="C6" s="3">
        <v>0.83</v>
      </c>
      <c r="D6" s="5">
        <v>0.82883333333333331</v>
      </c>
      <c r="E6" s="5">
        <v>0.69423076923076921</v>
      </c>
      <c r="F6" s="3">
        <v>0.68</v>
      </c>
      <c r="G6" s="3">
        <v>0.78</v>
      </c>
      <c r="H6" s="3">
        <v>0.77</v>
      </c>
      <c r="I6" s="3">
        <v>0.77</v>
      </c>
      <c r="J6" s="3">
        <v>0.74</v>
      </c>
      <c r="K6" s="3">
        <v>0.79</v>
      </c>
    </row>
    <row r="7" spans="1:11" x14ac:dyDescent="0.45">
      <c r="A7" t="s">
        <v>179</v>
      </c>
      <c r="B7">
        <v>10.3</v>
      </c>
      <c r="C7">
        <v>10.199999999999999</v>
      </c>
      <c r="D7" s="7">
        <v>11.8</v>
      </c>
      <c r="E7">
        <v>10.9</v>
      </c>
      <c r="F7">
        <v>10.7</v>
      </c>
      <c r="G7">
        <v>9.9</v>
      </c>
      <c r="H7">
        <v>10.9</v>
      </c>
      <c r="I7">
        <v>11.3</v>
      </c>
      <c r="J7">
        <v>12.1</v>
      </c>
      <c r="K7">
        <v>11.6</v>
      </c>
    </row>
    <row r="8" spans="1:11" x14ac:dyDescent="0.45">
      <c r="A8" t="s">
        <v>1</v>
      </c>
      <c r="B8">
        <v>166</v>
      </c>
      <c r="C8">
        <v>163</v>
      </c>
      <c r="D8">
        <v>141</v>
      </c>
      <c r="E8">
        <v>138</v>
      </c>
      <c r="F8">
        <v>156</v>
      </c>
      <c r="G8">
        <v>135</v>
      </c>
      <c r="H8">
        <v>97</v>
      </c>
      <c r="I8">
        <v>127</v>
      </c>
      <c r="J8">
        <v>164</v>
      </c>
      <c r="K8">
        <v>189</v>
      </c>
    </row>
    <row r="9" spans="1:11" x14ac:dyDescent="0.45">
      <c r="A9" t="s">
        <v>157</v>
      </c>
      <c r="B9">
        <v>137</v>
      </c>
      <c r="C9">
        <v>144</v>
      </c>
      <c r="D9">
        <v>147</v>
      </c>
      <c r="E9">
        <v>145</v>
      </c>
      <c r="F9">
        <v>143</v>
      </c>
      <c r="G9">
        <v>122</v>
      </c>
      <c r="H9">
        <v>116</v>
      </c>
      <c r="I9">
        <v>134</v>
      </c>
      <c r="J9">
        <v>155</v>
      </c>
      <c r="K9">
        <v>139</v>
      </c>
    </row>
    <row r="10" spans="1:11" x14ac:dyDescent="0.45">
      <c r="A10" t="s">
        <v>72</v>
      </c>
      <c r="B10" s="2">
        <v>1251</v>
      </c>
      <c r="C10" s="2">
        <v>1316</v>
      </c>
      <c r="D10" s="2">
        <v>1536</v>
      </c>
      <c r="E10" s="2">
        <v>1451</v>
      </c>
      <c r="F10" s="2">
        <v>1350</v>
      </c>
      <c r="G10" s="2">
        <v>1537</v>
      </c>
      <c r="H10" s="2">
        <v>1605</v>
      </c>
      <c r="I10" s="2">
        <v>1735</v>
      </c>
      <c r="J10" s="2">
        <v>1774</v>
      </c>
      <c r="K10" s="2">
        <v>1805</v>
      </c>
    </row>
    <row r="11" spans="1:11" x14ac:dyDescent="0.45">
      <c r="A11" t="s">
        <v>64</v>
      </c>
      <c r="B11" s="2">
        <v>1562</v>
      </c>
      <c r="C11" s="2">
        <v>1682</v>
      </c>
      <c r="D11" s="2">
        <v>2035</v>
      </c>
      <c r="E11" s="2">
        <v>2089</v>
      </c>
      <c r="F11" s="2">
        <v>1615</v>
      </c>
      <c r="G11" s="2">
        <v>1783</v>
      </c>
      <c r="H11" s="2">
        <v>1975</v>
      </c>
      <c r="I11" s="2">
        <v>2022</v>
      </c>
      <c r="J11" s="2">
        <v>2069</v>
      </c>
      <c r="K11" s="2">
        <v>2152</v>
      </c>
    </row>
    <row r="12" spans="1:11" x14ac:dyDescent="0.45">
      <c r="A12" t="s">
        <v>73</v>
      </c>
      <c r="B12" s="8">
        <v>148.92857142857142</v>
      </c>
      <c r="C12" s="8">
        <v>144.61538461538461</v>
      </c>
      <c r="D12" s="8">
        <v>154.43394329378646</v>
      </c>
      <c r="E12" s="8">
        <v>160.77562326869804</v>
      </c>
      <c r="F12" s="8">
        <v>141.74716505669889</v>
      </c>
      <c r="G12" s="8">
        <v>141.51551422520944</v>
      </c>
      <c r="H12" s="8">
        <v>152.7989337395278</v>
      </c>
      <c r="I12" s="8">
        <v>166.82692307692307</v>
      </c>
      <c r="J12" s="8">
        <v>176.48229208117789</v>
      </c>
      <c r="K12" s="8">
        <v>165.96175064361898</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FD8FFD-5EF1-4326-993D-2119269878F6}">
  <dimension ref="A1:AN50"/>
  <sheetViews>
    <sheetView zoomScale="85" zoomScaleNormal="85" workbookViewId="0">
      <pane xSplit="1" ySplit="2" topLeftCell="V20" activePane="bottomRight" state="frozen"/>
      <selection pane="topRight" activeCell="C1" sqref="C1"/>
      <selection pane="bottomLeft" activeCell="A3" sqref="A3"/>
      <selection pane="bottomRight" activeCell="AP32" sqref="AP32"/>
    </sheetView>
  </sheetViews>
  <sheetFormatPr defaultRowHeight="14.25" x14ac:dyDescent="0.45"/>
  <cols>
    <col min="1" max="1" width="33.19921875" bestFit="1" customWidth="1"/>
    <col min="2" max="2" width="20.59765625" customWidth="1"/>
    <col min="5" max="5" width="14.9296875" bestFit="1" customWidth="1"/>
  </cols>
  <sheetData>
    <row r="1" spans="1:39" x14ac:dyDescent="0.45">
      <c r="A1" s="11" t="s">
        <v>89</v>
      </c>
      <c r="B1" s="12" t="s">
        <v>90</v>
      </c>
      <c r="C1" s="12" t="s">
        <v>91</v>
      </c>
      <c r="D1" s="12" t="s">
        <v>92</v>
      </c>
      <c r="E1" s="12" t="s">
        <v>93</v>
      </c>
      <c r="F1" s="12" t="s">
        <v>94</v>
      </c>
      <c r="G1" s="12" t="s">
        <v>95</v>
      </c>
      <c r="H1" s="12" t="s">
        <v>96</v>
      </c>
      <c r="I1" s="12" t="s">
        <v>97</v>
      </c>
      <c r="J1" s="12" t="s">
        <v>98</v>
      </c>
      <c r="K1" s="12" t="s">
        <v>99</v>
      </c>
      <c r="L1" s="12" t="s">
        <v>100</v>
      </c>
      <c r="M1" s="12" t="s">
        <v>101</v>
      </c>
      <c r="N1" s="12" t="s">
        <v>102</v>
      </c>
      <c r="O1" s="12" t="s">
        <v>103</v>
      </c>
      <c r="P1" s="12" t="s">
        <v>104</v>
      </c>
      <c r="Q1" s="12" t="s">
        <v>105</v>
      </c>
      <c r="R1" s="12" t="s">
        <v>106</v>
      </c>
      <c r="S1" s="12" t="s">
        <v>107</v>
      </c>
      <c r="T1" s="12" t="s">
        <v>108</v>
      </c>
      <c r="U1" s="12" t="s">
        <v>44</v>
      </c>
      <c r="V1" s="12" t="s">
        <v>46</v>
      </c>
      <c r="W1" s="12" t="s">
        <v>47</v>
      </c>
      <c r="X1" s="12" t="s">
        <v>48</v>
      </c>
      <c r="Y1" s="12" t="s">
        <v>49</v>
      </c>
      <c r="Z1" s="12" t="s">
        <v>50</v>
      </c>
      <c r="AA1" s="12" t="s">
        <v>51</v>
      </c>
      <c r="AB1" s="12" t="s">
        <v>52</v>
      </c>
      <c r="AC1" s="12" t="s">
        <v>53</v>
      </c>
      <c r="AD1" s="12" t="s">
        <v>54</v>
      </c>
      <c r="AE1" s="12" t="s">
        <v>55</v>
      </c>
      <c r="AF1" s="12" t="s">
        <v>56</v>
      </c>
      <c r="AG1" s="12" t="s">
        <v>57</v>
      </c>
      <c r="AH1" s="12" t="s">
        <v>58</v>
      </c>
      <c r="AI1" s="12" t="s">
        <v>59</v>
      </c>
      <c r="AJ1" s="12" t="s">
        <v>60</v>
      </c>
      <c r="AK1" s="12" t="s">
        <v>61</v>
      </c>
      <c r="AL1" s="12" t="s">
        <v>62</v>
      </c>
      <c r="AM1" s="12" t="s">
        <v>109</v>
      </c>
    </row>
    <row r="2" spans="1:39" x14ac:dyDescent="0.45">
      <c r="A2" s="13" t="s">
        <v>110</v>
      </c>
      <c r="B2" s="14" t="s">
        <v>111</v>
      </c>
      <c r="C2" s="14" t="s">
        <v>112</v>
      </c>
      <c r="D2" s="14" t="s">
        <v>113</v>
      </c>
      <c r="E2" s="14" t="s">
        <v>114</v>
      </c>
      <c r="F2" s="14" t="s">
        <v>115</v>
      </c>
      <c r="G2" s="14" t="s">
        <v>116</v>
      </c>
      <c r="H2" s="14" t="s">
        <v>117</v>
      </c>
      <c r="I2" s="14" t="s">
        <v>118</v>
      </c>
      <c r="J2" s="14" t="s">
        <v>119</v>
      </c>
      <c r="K2" s="14" t="s">
        <v>120</v>
      </c>
      <c r="L2" s="14" t="s">
        <v>121</v>
      </c>
      <c r="M2" s="14" t="s">
        <v>122</v>
      </c>
      <c r="N2" s="14" t="s">
        <v>123</v>
      </c>
      <c r="O2" s="14" t="s">
        <v>124</v>
      </c>
      <c r="P2" s="14" t="s">
        <v>125</v>
      </c>
      <c r="Q2" s="14" t="s">
        <v>126</v>
      </c>
      <c r="R2" s="14" t="s">
        <v>127</v>
      </c>
      <c r="S2" s="14" t="s">
        <v>128</v>
      </c>
      <c r="T2" s="14" t="s">
        <v>129</v>
      </c>
      <c r="U2" s="14" t="s">
        <v>130</v>
      </c>
      <c r="V2" s="14" t="s">
        <v>131</v>
      </c>
      <c r="W2" s="14" t="s">
        <v>132</v>
      </c>
      <c r="X2" s="14" t="s">
        <v>133</v>
      </c>
      <c r="Y2" s="14" t="s">
        <v>134</v>
      </c>
      <c r="Z2" s="14" t="s">
        <v>135</v>
      </c>
      <c r="AA2" s="14" t="s">
        <v>136</v>
      </c>
      <c r="AB2" s="14" t="s">
        <v>137</v>
      </c>
      <c r="AC2" s="14" t="s">
        <v>138</v>
      </c>
      <c r="AD2" s="14" t="s">
        <v>139</v>
      </c>
      <c r="AE2" s="14" t="s">
        <v>140</v>
      </c>
      <c r="AF2" s="14" t="s">
        <v>141</v>
      </c>
      <c r="AG2" s="14" t="s">
        <v>142</v>
      </c>
      <c r="AH2" s="14" t="s">
        <v>143</v>
      </c>
      <c r="AI2" s="14" t="s">
        <v>144</v>
      </c>
      <c r="AJ2" s="14" t="s">
        <v>145</v>
      </c>
      <c r="AK2" s="14" t="s">
        <v>146</v>
      </c>
      <c r="AL2" s="14" t="s">
        <v>147</v>
      </c>
      <c r="AM2" s="14" t="s">
        <v>148</v>
      </c>
    </row>
    <row r="3" spans="1:39" x14ac:dyDescent="0.45">
      <c r="A3" s="15" t="s">
        <v>6</v>
      </c>
      <c r="B3" s="16">
        <v>405.28</v>
      </c>
      <c r="C3" s="16">
        <v>400.77499999999998</v>
      </c>
      <c r="D3" s="16">
        <v>477.00599999999997</v>
      </c>
      <c r="E3" s="16">
        <v>464.714</v>
      </c>
      <c r="F3" s="16">
        <v>522.62699999999995</v>
      </c>
      <c r="G3" s="16">
        <v>474.411</v>
      </c>
      <c r="H3" s="16">
        <v>573.26300000000003</v>
      </c>
      <c r="I3" s="16">
        <v>520.92999999999995</v>
      </c>
      <c r="J3" s="16">
        <v>501.44200000000001</v>
      </c>
      <c r="K3" s="16">
        <v>492.27699999999999</v>
      </c>
      <c r="L3" s="16">
        <v>573.95899999999995</v>
      </c>
      <c r="M3" s="16">
        <v>385.09199999999998</v>
      </c>
      <c r="N3" s="16">
        <v>394.03500000000003</v>
      </c>
      <c r="O3" s="16">
        <v>417.55200000000002</v>
      </c>
      <c r="P3" s="16">
        <v>418.01499999999999</v>
      </c>
      <c r="Q3" s="16">
        <v>415.18700000000001</v>
      </c>
      <c r="R3" s="16">
        <v>454.45299999999997</v>
      </c>
      <c r="S3" s="16">
        <v>460.43</v>
      </c>
      <c r="T3" s="16">
        <v>452.82</v>
      </c>
      <c r="U3" s="16">
        <v>473.46699999999998</v>
      </c>
      <c r="V3" s="16">
        <v>431.60199999999998</v>
      </c>
      <c r="W3" s="16">
        <v>528.35900000000004</v>
      </c>
      <c r="X3" s="16">
        <v>541.54</v>
      </c>
      <c r="Y3" s="16">
        <v>508.16300000000001</v>
      </c>
      <c r="Z3" s="16">
        <v>505.07299999999998</v>
      </c>
      <c r="AA3" s="16">
        <v>504.89100000000002</v>
      </c>
      <c r="AB3" s="16">
        <v>503.89699999999999</v>
      </c>
      <c r="AC3" s="16">
        <v>516.36099999999999</v>
      </c>
      <c r="AD3" s="16">
        <v>510.97500000000002</v>
      </c>
      <c r="AE3" s="16">
        <v>520.53800000000001</v>
      </c>
      <c r="AF3" s="16">
        <v>521.13800000000003</v>
      </c>
      <c r="AG3" s="16">
        <v>512.91499999999996</v>
      </c>
      <c r="AH3" s="16">
        <v>542.63900000000001</v>
      </c>
      <c r="AI3" s="16">
        <v>542.30799999999999</v>
      </c>
      <c r="AJ3" s="16">
        <v>554.05600000000004</v>
      </c>
      <c r="AK3" s="16">
        <v>543.15300000000002</v>
      </c>
      <c r="AL3" s="16">
        <v>552.98699999999997</v>
      </c>
      <c r="AM3" s="16">
        <v>572.572</v>
      </c>
    </row>
    <row r="4" spans="1:39" x14ac:dyDescent="0.45">
      <c r="A4" s="17" t="s">
        <v>7</v>
      </c>
      <c r="B4" s="18">
        <v>405.28</v>
      </c>
      <c r="C4" s="18">
        <v>400.77499999999998</v>
      </c>
      <c r="D4" s="18">
        <v>477.00599999999997</v>
      </c>
      <c r="E4" s="18">
        <v>464.714</v>
      </c>
      <c r="F4" s="18">
        <v>522.62699999999995</v>
      </c>
      <c r="G4" s="18">
        <v>474.411</v>
      </c>
      <c r="H4" s="18">
        <v>573.26300000000003</v>
      </c>
      <c r="I4" s="18">
        <v>520.92999999999995</v>
      </c>
      <c r="J4" s="18">
        <v>501.44200000000001</v>
      </c>
      <c r="K4" s="18">
        <v>492.27699999999999</v>
      </c>
      <c r="L4" s="18">
        <v>573.95899999999995</v>
      </c>
      <c r="M4" s="18">
        <v>385.09199999999998</v>
      </c>
      <c r="N4" s="18">
        <v>394.03500000000003</v>
      </c>
      <c r="O4" s="18">
        <v>417.55200000000002</v>
      </c>
      <c r="P4" s="18">
        <v>418.01499999999999</v>
      </c>
      <c r="Q4" s="18">
        <v>415.18700000000001</v>
      </c>
      <c r="R4" s="18">
        <v>454.45299999999997</v>
      </c>
      <c r="S4" s="18">
        <v>460.43</v>
      </c>
      <c r="T4" s="18">
        <v>452.82</v>
      </c>
      <c r="U4" s="18">
        <v>16.512</v>
      </c>
      <c r="V4" s="18">
        <v>26.422000000000001</v>
      </c>
      <c r="W4" s="18">
        <v>27.693000000000001</v>
      </c>
      <c r="X4" s="18">
        <v>541.54</v>
      </c>
      <c r="Y4" s="18">
        <v>12.367000000000001</v>
      </c>
      <c r="Z4" s="18">
        <v>505.07299999999998</v>
      </c>
      <c r="AA4" s="18">
        <v>6.657</v>
      </c>
      <c r="AB4" s="18">
        <v>503.89699999999999</v>
      </c>
      <c r="AC4" s="18">
        <v>0</v>
      </c>
      <c r="AD4" s="18">
        <v>0</v>
      </c>
      <c r="AE4" s="18">
        <v>3.9449999999999998</v>
      </c>
      <c r="AF4" s="18">
        <v>521.13800000000003</v>
      </c>
      <c r="AG4" s="18">
        <v>9.6669999999999998</v>
      </c>
      <c r="AH4" s="18">
        <v>542.63900000000001</v>
      </c>
      <c r="AI4" s="18">
        <v>14.571</v>
      </c>
      <c r="AJ4" s="18">
        <v>17.285</v>
      </c>
      <c r="AK4" s="18">
        <v>2.1640000000000001</v>
      </c>
      <c r="AL4" s="18">
        <v>552.98699999999997</v>
      </c>
      <c r="AM4" s="18">
        <v>0</v>
      </c>
    </row>
    <row r="5" spans="1:39" x14ac:dyDescent="0.45">
      <c r="A5" s="17" t="s">
        <v>8</v>
      </c>
      <c r="B5" s="18" t="s">
        <v>45</v>
      </c>
      <c r="C5" s="18" t="s">
        <v>45</v>
      </c>
      <c r="D5" s="18" t="s">
        <v>45</v>
      </c>
      <c r="E5" s="18" t="s">
        <v>45</v>
      </c>
      <c r="F5" s="18" t="s">
        <v>45</v>
      </c>
      <c r="G5" s="18" t="s">
        <v>45</v>
      </c>
      <c r="H5" s="18" t="s">
        <v>45</v>
      </c>
      <c r="I5" s="18" t="s">
        <v>45</v>
      </c>
      <c r="J5" s="18" t="s">
        <v>45</v>
      </c>
      <c r="K5" s="18" t="s">
        <v>45</v>
      </c>
      <c r="L5" s="18" t="s">
        <v>45</v>
      </c>
      <c r="M5" s="18" t="s">
        <v>45</v>
      </c>
      <c r="N5" s="18" t="s">
        <v>45</v>
      </c>
      <c r="O5" s="18" t="s">
        <v>45</v>
      </c>
      <c r="P5" s="18" t="s">
        <v>45</v>
      </c>
      <c r="Q5" s="18" t="s">
        <v>45</v>
      </c>
      <c r="R5" s="18" t="s">
        <v>45</v>
      </c>
      <c r="S5" s="18" t="s">
        <v>45</v>
      </c>
      <c r="T5" s="18" t="s">
        <v>45</v>
      </c>
      <c r="U5" s="18">
        <v>456.95499999999998</v>
      </c>
      <c r="V5" s="18">
        <v>405.18</v>
      </c>
      <c r="W5" s="18">
        <v>500.666</v>
      </c>
      <c r="X5" s="18" t="s">
        <v>45</v>
      </c>
      <c r="Y5" s="18">
        <v>495.79599999999999</v>
      </c>
      <c r="Z5" s="18" t="s">
        <v>45</v>
      </c>
      <c r="AA5" s="18">
        <v>498.23399999999998</v>
      </c>
      <c r="AB5" s="18" t="s">
        <v>45</v>
      </c>
      <c r="AC5" s="18">
        <v>516.36099999999999</v>
      </c>
      <c r="AD5" s="18">
        <v>510.97500000000002</v>
      </c>
      <c r="AE5" s="18">
        <v>516.59299999999996</v>
      </c>
      <c r="AF5" s="18" t="s">
        <v>45</v>
      </c>
      <c r="AG5" s="18">
        <v>503.24799999999999</v>
      </c>
      <c r="AH5" s="18" t="s">
        <v>45</v>
      </c>
      <c r="AI5" s="18">
        <v>527.73699999999997</v>
      </c>
      <c r="AJ5" s="18">
        <v>536.77099999999996</v>
      </c>
      <c r="AK5" s="18">
        <v>540.98900000000003</v>
      </c>
      <c r="AL5" s="18" t="s">
        <v>45</v>
      </c>
      <c r="AM5" s="18">
        <v>572.572</v>
      </c>
    </row>
    <row r="6" spans="1:39" x14ac:dyDescent="0.45">
      <c r="A6" s="17" t="s">
        <v>9</v>
      </c>
      <c r="B6" s="18">
        <v>187.11</v>
      </c>
      <c r="C6" s="18">
        <v>181.846</v>
      </c>
      <c r="D6" s="18">
        <v>246.94800000000001</v>
      </c>
      <c r="E6" s="18">
        <v>217.53399999999999</v>
      </c>
      <c r="F6" s="18">
        <v>272.28199999999998</v>
      </c>
      <c r="G6" s="18">
        <v>230.042</v>
      </c>
      <c r="H6" s="18">
        <v>323.86799999999999</v>
      </c>
      <c r="I6" s="18">
        <v>282.40899999999999</v>
      </c>
      <c r="J6" s="18">
        <v>275.92</v>
      </c>
      <c r="K6" s="18">
        <v>262.83</v>
      </c>
      <c r="L6" s="18">
        <v>341.46899999999999</v>
      </c>
      <c r="M6" s="18">
        <v>159.39699999999999</v>
      </c>
      <c r="N6" s="18">
        <v>167.08</v>
      </c>
      <c r="O6" s="18">
        <v>171.56800000000001</v>
      </c>
      <c r="P6" s="18">
        <v>162.16900000000001</v>
      </c>
      <c r="Q6" s="18">
        <v>159.18700000000001</v>
      </c>
      <c r="R6" s="18">
        <v>167.143</v>
      </c>
      <c r="S6" s="18">
        <v>175.62100000000001</v>
      </c>
      <c r="T6" s="18">
        <v>169.20500000000001</v>
      </c>
      <c r="U6" s="18">
        <v>184.173</v>
      </c>
      <c r="V6" s="18">
        <v>186.595</v>
      </c>
      <c r="W6" s="18">
        <v>194.86600000000001</v>
      </c>
      <c r="X6" s="18">
        <v>246.011</v>
      </c>
      <c r="Y6" s="18">
        <v>194.47499999999999</v>
      </c>
      <c r="Z6" s="18">
        <v>201.11199999999999</v>
      </c>
      <c r="AA6" s="18">
        <v>194.42699999999999</v>
      </c>
      <c r="AB6" s="18">
        <v>201.309</v>
      </c>
      <c r="AC6" s="18">
        <v>202.548</v>
      </c>
      <c r="AD6" s="18">
        <v>226.107</v>
      </c>
      <c r="AE6" s="18">
        <v>224.55500000000001</v>
      </c>
      <c r="AF6" s="18">
        <v>225.81800000000001</v>
      </c>
      <c r="AG6" s="18">
        <v>218.95099999999999</v>
      </c>
      <c r="AH6" s="18">
        <v>231.071</v>
      </c>
      <c r="AI6" s="18">
        <v>230.99199999999999</v>
      </c>
      <c r="AJ6" s="18">
        <v>235.14</v>
      </c>
      <c r="AK6" s="18">
        <v>219.07900000000001</v>
      </c>
      <c r="AL6" s="18">
        <v>216.3</v>
      </c>
      <c r="AM6" s="18">
        <v>194.255</v>
      </c>
    </row>
    <row r="7" spans="1:39" x14ac:dyDescent="0.45">
      <c r="A7" s="17" t="s">
        <v>149</v>
      </c>
      <c r="B7" s="18">
        <v>187.11</v>
      </c>
      <c r="C7" s="18">
        <v>181.846</v>
      </c>
      <c r="D7" s="18">
        <v>246.94800000000001</v>
      </c>
      <c r="E7" s="18">
        <v>217.53399999999999</v>
      </c>
      <c r="F7" s="18">
        <v>272.28199999999998</v>
      </c>
      <c r="G7" s="18">
        <v>230.042</v>
      </c>
      <c r="H7" s="18">
        <v>323.86799999999999</v>
      </c>
      <c r="I7" s="18">
        <v>282.40899999999999</v>
      </c>
      <c r="J7" s="18">
        <v>275.92</v>
      </c>
      <c r="K7" s="18">
        <v>262.83</v>
      </c>
      <c r="L7" s="18">
        <v>341.46899999999999</v>
      </c>
      <c r="M7" s="18">
        <v>159.39699999999999</v>
      </c>
      <c r="N7" s="18">
        <v>167.08</v>
      </c>
      <c r="O7" s="18">
        <v>171.56800000000001</v>
      </c>
      <c r="P7" s="18">
        <v>162.16900000000001</v>
      </c>
      <c r="Q7" s="18">
        <v>159.18700000000001</v>
      </c>
      <c r="R7" s="18">
        <v>167.143</v>
      </c>
      <c r="S7" s="18">
        <v>175.62100000000001</v>
      </c>
      <c r="T7" s="18">
        <v>169.20500000000001</v>
      </c>
      <c r="U7" s="18">
        <v>184.173</v>
      </c>
      <c r="V7" s="18">
        <v>186.595</v>
      </c>
      <c r="W7" s="18">
        <v>194.86600000000001</v>
      </c>
      <c r="X7" s="18">
        <v>246.011</v>
      </c>
      <c r="Y7" s="18">
        <v>194.47499999999999</v>
      </c>
      <c r="Z7" s="18">
        <v>201.11199999999999</v>
      </c>
      <c r="AA7" s="18">
        <v>194.42699999999999</v>
      </c>
      <c r="AB7" s="18">
        <v>201.309</v>
      </c>
      <c r="AC7" s="18">
        <v>202.548</v>
      </c>
      <c r="AD7" s="18">
        <v>226.107</v>
      </c>
      <c r="AE7" s="18">
        <v>224.55500000000001</v>
      </c>
      <c r="AF7" s="18">
        <v>225.81800000000001</v>
      </c>
      <c r="AG7" s="18">
        <v>218.95099999999999</v>
      </c>
      <c r="AH7" s="18">
        <v>231.071</v>
      </c>
      <c r="AI7" s="18">
        <v>230.99199999999999</v>
      </c>
      <c r="AJ7" s="18">
        <v>235.14</v>
      </c>
      <c r="AK7" s="18">
        <v>219.07900000000001</v>
      </c>
      <c r="AL7" s="18">
        <v>216.3</v>
      </c>
      <c r="AM7" s="18">
        <v>194.255</v>
      </c>
    </row>
    <row r="8" spans="1:39" x14ac:dyDescent="0.45">
      <c r="A8" s="15" t="s">
        <v>10</v>
      </c>
      <c r="B8" s="16">
        <v>218.17</v>
      </c>
      <c r="C8" s="16">
        <v>218.929</v>
      </c>
      <c r="D8" s="16">
        <v>230.05799999999999</v>
      </c>
      <c r="E8" s="16">
        <v>247.18</v>
      </c>
      <c r="F8" s="16">
        <v>250.345</v>
      </c>
      <c r="G8" s="16">
        <v>244.369</v>
      </c>
      <c r="H8" s="16">
        <v>249.39500000000001</v>
      </c>
      <c r="I8" s="16">
        <v>238.52099999999999</v>
      </c>
      <c r="J8" s="16">
        <v>225.52199999999999</v>
      </c>
      <c r="K8" s="16">
        <v>229.447</v>
      </c>
      <c r="L8" s="16">
        <v>232.49</v>
      </c>
      <c r="M8" s="16">
        <v>225.69499999999999</v>
      </c>
      <c r="N8" s="16">
        <v>226.95500000000001</v>
      </c>
      <c r="O8" s="16">
        <v>245.98400000000001</v>
      </c>
      <c r="P8" s="16">
        <v>255.846</v>
      </c>
      <c r="Q8" s="16">
        <v>256</v>
      </c>
      <c r="R8" s="16">
        <v>287.31</v>
      </c>
      <c r="S8" s="16">
        <v>284.80900000000003</v>
      </c>
      <c r="T8" s="16">
        <v>283.61500000000001</v>
      </c>
      <c r="U8" s="16">
        <v>289.29399999999998</v>
      </c>
      <c r="V8" s="16">
        <v>245.00700000000001</v>
      </c>
      <c r="W8" s="16">
        <v>333.49299999999999</v>
      </c>
      <c r="X8" s="16">
        <v>295.529</v>
      </c>
      <c r="Y8" s="16">
        <v>313.68799999999999</v>
      </c>
      <c r="Z8" s="16">
        <v>303.96100000000001</v>
      </c>
      <c r="AA8" s="16">
        <v>310.464</v>
      </c>
      <c r="AB8" s="16">
        <v>302.58800000000002</v>
      </c>
      <c r="AC8" s="16">
        <v>313.81299999999999</v>
      </c>
      <c r="AD8" s="16">
        <v>284.86799999999999</v>
      </c>
      <c r="AE8" s="16">
        <v>295.983</v>
      </c>
      <c r="AF8" s="16">
        <v>295.32</v>
      </c>
      <c r="AG8" s="16">
        <v>293.964</v>
      </c>
      <c r="AH8" s="16">
        <v>311.56799999999998</v>
      </c>
      <c r="AI8" s="16">
        <v>311.31599999999997</v>
      </c>
      <c r="AJ8" s="16">
        <v>318.916</v>
      </c>
      <c r="AK8" s="16">
        <v>324.07400000000001</v>
      </c>
      <c r="AL8" s="16">
        <v>336.68700000000001</v>
      </c>
      <c r="AM8" s="16">
        <v>378.31700000000001</v>
      </c>
    </row>
    <row r="9" spans="1:39" x14ac:dyDescent="0.45">
      <c r="A9" s="17" t="s">
        <v>11</v>
      </c>
      <c r="B9" s="18">
        <v>1.071</v>
      </c>
      <c r="C9" s="18">
        <v>1.0469999999999999</v>
      </c>
      <c r="D9" s="18">
        <v>1.843</v>
      </c>
      <c r="E9" s="18">
        <v>21.59</v>
      </c>
      <c r="F9" s="18">
        <v>1.2050000000000001</v>
      </c>
      <c r="G9" s="18">
        <v>1.206</v>
      </c>
      <c r="H9" s="18">
        <v>8.7539999999999996</v>
      </c>
      <c r="I9" s="18">
        <v>1.9830000000000001</v>
      </c>
      <c r="J9" s="18">
        <v>11.773</v>
      </c>
      <c r="K9" s="18">
        <v>10.416</v>
      </c>
      <c r="L9" s="18">
        <v>2.516</v>
      </c>
      <c r="M9" s="18">
        <v>2.2669999999999999</v>
      </c>
      <c r="N9" s="18">
        <v>2.5379999999999998</v>
      </c>
      <c r="O9" s="18">
        <v>3.1110000000000002</v>
      </c>
      <c r="P9" s="18">
        <v>1.548</v>
      </c>
      <c r="Q9" s="18">
        <v>2.633</v>
      </c>
      <c r="R9" s="18">
        <v>3.5179999999999998</v>
      </c>
      <c r="S9" s="18">
        <v>3.7530000000000001</v>
      </c>
      <c r="T9" s="18">
        <v>2.952</v>
      </c>
      <c r="U9" s="18">
        <v>2.61</v>
      </c>
      <c r="V9" s="18">
        <v>3.331</v>
      </c>
      <c r="W9" s="18">
        <v>9.5069999999999997</v>
      </c>
      <c r="X9" s="18">
        <v>10.446</v>
      </c>
      <c r="Y9" s="18">
        <v>24.82</v>
      </c>
      <c r="Z9" s="18">
        <v>2.0750000000000002</v>
      </c>
      <c r="AA9" s="18">
        <v>23.774999999999999</v>
      </c>
      <c r="AB9" s="18">
        <v>35.444000000000003</v>
      </c>
      <c r="AC9" s="18">
        <v>2.0369999999999999</v>
      </c>
      <c r="AD9" s="18">
        <v>2.3460000000000001</v>
      </c>
      <c r="AE9" s="18">
        <v>1.8380000000000001</v>
      </c>
      <c r="AF9" s="18">
        <v>1.754</v>
      </c>
      <c r="AG9" s="18">
        <v>5.99</v>
      </c>
      <c r="AH9" s="18">
        <v>8.61</v>
      </c>
      <c r="AI9" s="18">
        <v>1.988</v>
      </c>
      <c r="AJ9" s="18">
        <v>14.435</v>
      </c>
      <c r="AK9" s="18">
        <v>1.698</v>
      </c>
      <c r="AL9" s="18">
        <v>1.986</v>
      </c>
      <c r="AM9" s="18">
        <v>6.8810000000000002</v>
      </c>
    </row>
    <row r="10" spans="1:39" x14ac:dyDescent="0.45">
      <c r="A10" s="17" t="s">
        <v>12</v>
      </c>
      <c r="B10" s="18">
        <v>41.954999999999998</v>
      </c>
      <c r="C10" s="18">
        <v>41.328000000000003</v>
      </c>
      <c r="D10" s="18">
        <v>49.826000000000001</v>
      </c>
      <c r="E10" s="18">
        <v>62.433</v>
      </c>
      <c r="F10" s="18">
        <v>43.78</v>
      </c>
      <c r="G10" s="18">
        <v>67.394000000000005</v>
      </c>
      <c r="H10" s="18">
        <v>58.006999999999998</v>
      </c>
      <c r="I10" s="18">
        <v>45.706000000000003</v>
      </c>
      <c r="J10" s="18">
        <v>45.935000000000002</v>
      </c>
      <c r="K10" s="18">
        <v>44.997</v>
      </c>
      <c r="L10" s="18">
        <v>69.861999999999995</v>
      </c>
      <c r="M10" s="18">
        <v>45.198</v>
      </c>
      <c r="N10" s="18">
        <v>47.164000000000001</v>
      </c>
      <c r="O10" s="18">
        <v>46.188000000000002</v>
      </c>
      <c r="P10" s="18">
        <v>38.838000000000001</v>
      </c>
      <c r="Q10" s="18">
        <v>52.884</v>
      </c>
      <c r="R10" s="18">
        <v>52.52</v>
      </c>
      <c r="S10" s="18">
        <v>58.866</v>
      </c>
      <c r="T10" s="18">
        <v>57.555</v>
      </c>
      <c r="U10" s="18">
        <v>74.608999999999995</v>
      </c>
      <c r="V10" s="18">
        <v>51.091999999999999</v>
      </c>
      <c r="W10" s="18">
        <v>54.877000000000002</v>
      </c>
      <c r="X10" s="18">
        <v>50.875</v>
      </c>
      <c r="Y10" s="18">
        <v>50.948</v>
      </c>
      <c r="Z10" s="18">
        <v>55.588999999999999</v>
      </c>
      <c r="AA10" s="18">
        <v>53.042999999999999</v>
      </c>
      <c r="AB10" s="18">
        <v>56.837000000000003</v>
      </c>
      <c r="AC10" s="18">
        <v>52.338000000000001</v>
      </c>
      <c r="AD10" s="18">
        <v>54.127000000000002</v>
      </c>
      <c r="AE10" s="18">
        <v>65.048000000000002</v>
      </c>
      <c r="AF10" s="18">
        <v>62.420999999999999</v>
      </c>
      <c r="AG10" s="18">
        <v>55.429000000000002</v>
      </c>
      <c r="AH10" s="18">
        <v>59.792999999999999</v>
      </c>
      <c r="AI10" s="18">
        <v>52.920999999999999</v>
      </c>
      <c r="AJ10" s="18">
        <v>62.287999999999997</v>
      </c>
      <c r="AK10" s="18">
        <v>55.395000000000003</v>
      </c>
      <c r="AL10" s="18">
        <v>63.838999999999999</v>
      </c>
      <c r="AM10" s="18">
        <v>74.263999999999996</v>
      </c>
    </row>
    <row r="11" spans="1:39" x14ac:dyDescent="0.45">
      <c r="A11" s="17" t="s">
        <v>13</v>
      </c>
      <c r="B11" s="18">
        <v>6.2169999999999996</v>
      </c>
      <c r="C11" s="18">
        <v>6.1840000000000002</v>
      </c>
      <c r="D11" s="18">
        <v>10.425000000000001</v>
      </c>
      <c r="E11" s="18">
        <v>5.6539999999999999</v>
      </c>
      <c r="F11" s="18">
        <v>5.2729999999999997</v>
      </c>
      <c r="G11" s="18">
        <v>11.226000000000001</v>
      </c>
      <c r="H11" s="18">
        <v>14.108000000000001</v>
      </c>
      <c r="I11" s="18">
        <v>5.4480000000000004</v>
      </c>
      <c r="J11" s="18">
        <v>7.02</v>
      </c>
      <c r="K11" s="18">
        <v>6.0010000000000003</v>
      </c>
      <c r="L11" s="18">
        <v>8.7850000000000001</v>
      </c>
      <c r="M11" s="18">
        <v>5.3090000000000002</v>
      </c>
      <c r="N11" s="18">
        <v>4.617</v>
      </c>
      <c r="O11" s="18">
        <v>4.1749999999999998</v>
      </c>
      <c r="P11" s="18">
        <v>2.181</v>
      </c>
      <c r="Q11" s="18">
        <v>6.2169999999999996</v>
      </c>
      <c r="R11" s="18">
        <v>6.7320000000000002</v>
      </c>
      <c r="S11" s="18">
        <v>7.5460000000000003</v>
      </c>
      <c r="T11" s="18">
        <v>60.601999999999997</v>
      </c>
      <c r="U11" s="18">
        <v>25.091000000000001</v>
      </c>
      <c r="V11" s="18">
        <v>13.712999999999999</v>
      </c>
      <c r="W11" s="18">
        <v>6.9409999999999998</v>
      </c>
      <c r="X11" s="18">
        <v>22.908000000000001</v>
      </c>
      <c r="Y11" s="18">
        <v>4.7770000000000001</v>
      </c>
      <c r="Z11" s="18">
        <v>7.7779999999999996</v>
      </c>
      <c r="AA11" s="18">
        <v>6.8710000000000004</v>
      </c>
      <c r="AB11" s="18">
        <v>6.923</v>
      </c>
      <c r="AC11" s="18">
        <v>5.1550000000000002</v>
      </c>
      <c r="AD11" s="18">
        <v>5.8380000000000001</v>
      </c>
      <c r="AE11" s="18">
        <v>12.07</v>
      </c>
      <c r="AF11" s="18">
        <v>24.015000000000001</v>
      </c>
      <c r="AG11" s="18">
        <v>5.1520000000000001</v>
      </c>
      <c r="AH11" s="18">
        <v>10.207000000000001</v>
      </c>
      <c r="AI11" s="18">
        <v>6.4059999999999997</v>
      </c>
      <c r="AJ11" s="18">
        <v>6.6890000000000001</v>
      </c>
      <c r="AK11" s="18">
        <v>7.0629999999999997</v>
      </c>
      <c r="AL11" s="18">
        <v>8.093</v>
      </c>
      <c r="AM11" s="18">
        <v>7.4059999999999997</v>
      </c>
    </row>
    <row r="12" spans="1:39" x14ac:dyDescent="0.45">
      <c r="A12" s="19" t="s">
        <v>14</v>
      </c>
      <c r="B12" s="20">
        <v>6.2169999999999996</v>
      </c>
      <c r="C12" s="20">
        <v>6.1840000000000002</v>
      </c>
      <c r="D12" s="20">
        <v>10.425000000000001</v>
      </c>
      <c r="E12" s="20">
        <v>5.6539999999999999</v>
      </c>
      <c r="F12" s="20">
        <v>5.2729999999999997</v>
      </c>
      <c r="G12" s="20">
        <v>11.226000000000001</v>
      </c>
      <c r="H12" s="20">
        <v>14.108000000000001</v>
      </c>
      <c r="I12" s="20">
        <v>5.4480000000000004</v>
      </c>
      <c r="J12" s="20">
        <v>7.02</v>
      </c>
      <c r="K12" s="20">
        <v>6.0010000000000003</v>
      </c>
      <c r="L12" s="20">
        <v>8.7850000000000001</v>
      </c>
      <c r="M12" s="20">
        <v>5.3090000000000002</v>
      </c>
      <c r="N12" s="20">
        <v>4.617</v>
      </c>
      <c r="O12" s="20">
        <v>4.1749999999999998</v>
      </c>
      <c r="P12" s="20">
        <v>2.181</v>
      </c>
      <c r="Q12" s="20">
        <v>6.2169999999999996</v>
      </c>
      <c r="R12" s="20">
        <v>6.7320000000000002</v>
      </c>
      <c r="S12" s="20">
        <v>7.5460000000000003</v>
      </c>
      <c r="T12" s="20">
        <v>60.601999999999997</v>
      </c>
      <c r="U12" s="20">
        <v>25.091000000000001</v>
      </c>
      <c r="V12" s="20">
        <v>13.712999999999999</v>
      </c>
      <c r="W12" s="20">
        <v>6.9409999999999998</v>
      </c>
      <c r="X12" s="20">
        <v>22.908000000000001</v>
      </c>
      <c r="Y12" s="20">
        <v>4.7770000000000001</v>
      </c>
      <c r="Z12" s="20">
        <v>7.7779999999999996</v>
      </c>
      <c r="AA12" s="20">
        <v>6.8710000000000004</v>
      </c>
      <c r="AB12" s="20">
        <v>6.923</v>
      </c>
      <c r="AC12" s="20">
        <v>5.1550000000000002</v>
      </c>
      <c r="AD12" s="20">
        <v>5.8380000000000001</v>
      </c>
      <c r="AE12" s="20">
        <v>12.07</v>
      </c>
      <c r="AF12" s="20">
        <v>24.015000000000001</v>
      </c>
      <c r="AG12" s="20">
        <v>5.1520000000000001</v>
      </c>
      <c r="AH12" s="20">
        <v>10.207000000000001</v>
      </c>
      <c r="AI12" s="20">
        <v>6.4059999999999997</v>
      </c>
      <c r="AJ12" s="20">
        <v>6.6890000000000001</v>
      </c>
      <c r="AK12" s="20">
        <v>7.0629999999999997</v>
      </c>
      <c r="AL12" s="20">
        <v>8.093</v>
      </c>
      <c r="AM12" s="20">
        <v>7.4059999999999997</v>
      </c>
    </row>
    <row r="13" spans="1:39" x14ac:dyDescent="0.45">
      <c r="A13" s="17" t="s">
        <v>15</v>
      </c>
      <c r="B13" s="18" t="s">
        <v>45</v>
      </c>
      <c r="C13" s="18" t="s">
        <v>45</v>
      </c>
      <c r="D13" s="18" t="s">
        <v>45</v>
      </c>
      <c r="E13" s="18" t="s">
        <v>45</v>
      </c>
      <c r="F13" s="18" t="s">
        <v>45</v>
      </c>
      <c r="G13" s="18" t="s">
        <v>45</v>
      </c>
      <c r="H13" s="18" t="s">
        <v>45</v>
      </c>
      <c r="I13" s="18" t="s">
        <v>45</v>
      </c>
      <c r="J13" s="18" t="s">
        <v>45</v>
      </c>
      <c r="K13" s="18" t="s">
        <v>45</v>
      </c>
      <c r="L13" s="18" t="s">
        <v>45</v>
      </c>
      <c r="M13" s="18" t="s">
        <v>45</v>
      </c>
      <c r="N13" s="18" t="s">
        <v>45</v>
      </c>
      <c r="O13" s="18" t="s">
        <v>45</v>
      </c>
      <c r="P13" s="18" t="s">
        <v>45</v>
      </c>
      <c r="Q13" s="18" t="s">
        <v>45</v>
      </c>
      <c r="R13" s="18" t="s">
        <v>45</v>
      </c>
      <c r="S13" s="18" t="s">
        <v>45</v>
      </c>
      <c r="T13" s="18">
        <v>0</v>
      </c>
      <c r="U13" s="18" t="s">
        <v>45</v>
      </c>
      <c r="V13" s="18" t="s">
        <v>45</v>
      </c>
      <c r="W13" s="18" t="s">
        <v>45</v>
      </c>
      <c r="X13" s="18">
        <v>0</v>
      </c>
      <c r="Y13" s="18" t="s">
        <v>45</v>
      </c>
      <c r="Z13" s="18" t="s">
        <v>45</v>
      </c>
      <c r="AA13" s="18" t="s">
        <v>45</v>
      </c>
      <c r="AB13" s="18" t="s">
        <v>45</v>
      </c>
      <c r="AC13" s="18" t="s">
        <v>45</v>
      </c>
      <c r="AD13" s="18" t="s">
        <v>45</v>
      </c>
      <c r="AE13" s="18" t="s">
        <v>45</v>
      </c>
      <c r="AF13" s="18">
        <v>0</v>
      </c>
      <c r="AG13" s="18" t="s">
        <v>45</v>
      </c>
      <c r="AH13" s="18" t="s">
        <v>45</v>
      </c>
      <c r="AI13" s="18" t="s">
        <v>45</v>
      </c>
      <c r="AJ13" s="18" t="s">
        <v>45</v>
      </c>
      <c r="AK13" s="18" t="s">
        <v>45</v>
      </c>
      <c r="AL13" s="18" t="s">
        <v>45</v>
      </c>
      <c r="AM13" s="18" t="s">
        <v>45</v>
      </c>
    </row>
    <row r="14" spans="1:39" x14ac:dyDescent="0.45">
      <c r="A14" s="17" t="s">
        <v>16</v>
      </c>
      <c r="B14" s="18">
        <v>0.13700000000000001</v>
      </c>
      <c r="C14" s="18">
        <v>0.13700000000000001</v>
      </c>
      <c r="D14" s="18">
        <v>0.13700000000000001</v>
      </c>
      <c r="E14" s="18" t="s">
        <v>45</v>
      </c>
      <c r="F14" s="18" t="s">
        <v>45</v>
      </c>
      <c r="G14" s="18" t="s">
        <v>45</v>
      </c>
      <c r="H14" s="18">
        <v>6.9880000000000004</v>
      </c>
      <c r="I14" s="18" t="s">
        <v>45</v>
      </c>
      <c r="J14" s="18" t="s">
        <v>45</v>
      </c>
      <c r="K14" s="18">
        <v>-7.4429999999999996</v>
      </c>
      <c r="L14" s="18">
        <v>1.337</v>
      </c>
      <c r="M14" s="18">
        <v>9.4E-2</v>
      </c>
      <c r="N14" s="18" t="s">
        <v>45</v>
      </c>
      <c r="O14" s="18">
        <v>2.7E-2</v>
      </c>
      <c r="P14" s="18">
        <v>-0.374</v>
      </c>
      <c r="Q14" s="18">
        <v>-9.8000000000000004E-2</v>
      </c>
      <c r="R14" s="18" t="s">
        <v>45</v>
      </c>
      <c r="S14" s="18">
        <v>3.3000000000000002E-2</v>
      </c>
      <c r="T14" s="18">
        <v>0.68100000000000005</v>
      </c>
      <c r="U14" s="18">
        <v>16.353999999999999</v>
      </c>
      <c r="V14" s="18">
        <v>-4.8000000000000001E-2</v>
      </c>
      <c r="W14" s="18">
        <v>8.6999999999999994E-2</v>
      </c>
      <c r="X14" s="18">
        <v>-10.166</v>
      </c>
      <c r="Y14" s="18">
        <v>-0.02</v>
      </c>
      <c r="Z14" s="18">
        <v>-0.08</v>
      </c>
      <c r="AA14" s="18">
        <v>-7.8E-2</v>
      </c>
      <c r="AB14" s="18">
        <v>-8.6999999999999994E-2</v>
      </c>
      <c r="AC14" s="18">
        <v>-0.10199999999999999</v>
      </c>
      <c r="AD14" s="18">
        <v>-0.13200000000000001</v>
      </c>
      <c r="AE14" s="18">
        <v>1.4E-2</v>
      </c>
      <c r="AF14" s="18">
        <v>9.5000000000000001E-2</v>
      </c>
      <c r="AG14" s="18">
        <v>-0.109</v>
      </c>
      <c r="AH14" s="18">
        <v>8.0000000000000002E-3</v>
      </c>
      <c r="AI14" s="18">
        <v>0.114</v>
      </c>
      <c r="AJ14" s="18">
        <v>-8.9999999999999993E-3</v>
      </c>
      <c r="AK14" s="18">
        <v>-0.05</v>
      </c>
      <c r="AL14" s="18">
        <v>-2.5000000000000001E-2</v>
      </c>
      <c r="AM14" s="18">
        <v>-4.7E-2</v>
      </c>
    </row>
    <row r="15" spans="1:39" x14ac:dyDescent="0.45">
      <c r="A15" s="17" t="s">
        <v>17</v>
      </c>
      <c r="B15" s="18">
        <v>35.600999999999999</v>
      </c>
      <c r="C15" s="18">
        <v>35.006999999999998</v>
      </c>
      <c r="D15" s="18">
        <v>39.264000000000003</v>
      </c>
      <c r="E15" s="18">
        <v>56.779000000000003</v>
      </c>
      <c r="F15" s="18">
        <v>38.506999999999998</v>
      </c>
      <c r="G15" s="18">
        <v>56.167999999999999</v>
      </c>
      <c r="H15" s="18">
        <v>36.911000000000001</v>
      </c>
      <c r="I15" s="18">
        <v>40.258000000000003</v>
      </c>
      <c r="J15" s="18">
        <v>38.914999999999999</v>
      </c>
      <c r="K15" s="18">
        <v>46.439</v>
      </c>
      <c r="L15" s="18">
        <v>59.74</v>
      </c>
      <c r="M15" s="18">
        <v>39.795000000000002</v>
      </c>
      <c r="N15" s="18">
        <v>42.546999999999997</v>
      </c>
      <c r="O15" s="18">
        <v>41.985999999999997</v>
      </c>
      <c r="P15" s="18">
        <v>37.030999999999999</v>
      </c>
      <c r="Q15" s="18">
        <v>46.765000000000001</v>
      </c>
      <c r="R15" s="18">
        <v>45.787999999999997</v>
      </c>
      <c r="S15" s="18">
        <v>51.286999999999999</v>
      </c>
      <c r="T15" s="18">
        <v>-3.7280000000000002</v>
      </c>
      <c r="U15" s="18">
        <v>33.164000000000001</v>
      </c>
      <c r="V15" s="18">
        <v>37.427</v>
      </c>
      <c r="W15" s="18">
        <v>47.848999999999997</v>
      </c>
      <c r="X15" s="18">
        <v>38.133000000000003</v>
      </c>
      <c r="Y15" s="18">
        <v>46.191000000000003</v>
      </c>
      <c r="Z15" s="18">
        <v>47.890999999999998</v>
      </c>
      <c r="AA15" s="18">
        <v>46.25</v>
      </c>
      <c r="AB15" s="18">
        <v>50.000999999999998</v>
      </c>
      <c r="AC15" s="18">
        <v>47.284999999999997</v>
      </c>
      <c r="AD15" s="18">
        <v>48.420999999999999</v>
      </c>
      <c r="AE15" s="18">
        <v>52.963999999999999</v>
      </c>
      <c r="AF15" s="18">
        <v>38.311</v>
      </c>
      <c r="AG15" s="18">
        <v>50.386000000000003</v>
      </c>
      <c r="AH15" s="18">
        <v>49.578000000000003</v>
      </c>
      <c r="AI15" s="18">
        <v>46.401000000000003</v>
      </c>
      <c r="AJ15" s="18">
        <v>55.607999999999997</v>
      </c>
      <c r="AK15" s="18">
        <v>48.381999999999998</v>
      </c>
      <c r="AL15" s="18">
        <v>55.771000000000001</v>
      </c>
      <c r="AM15" s="18">
        <v>66.905000000000001</v>
      </c>
    </row>
    <row r="16" spans="1:39" x14ac:dyDescent="0.45">
      <c r="A16" s="15" t="s">
        <v>18</v>
      </c>
      <c r="B16" s="16">
        <v>177.286</v>
      </c>
      <c r="C16" s="16">
        <v>178.648</v>
      </c>
      <c r="D16" s="16">
        <v>182.07499999999999</v>
      </c>
      <c r="E16" s="16">
        <v>206.33699999999999</v>
      </c>
      <c r="F16" s="16">
        <v>207.77</v>
      </c>
      <c r="G16" s="16">
        <v>178.18100000000001</v>
      </c>
      <c r="H16" s="16">
        <v>200.142</v>
      </c>
      <c r="I16" s="16">
        <v>194.798</v>
      </c>
      <c r="J16" s="16">
        <v>191.36</v>
      </c>
      <c r="K16" s="16">
        <v>194.86600000000001</v>
      </c>
      <c r="L16" s="16">
        <v>165.14400000000001</v>
      </c>
      <c r="M16" s="16">
        <v>182.76400000000001</v>
      </c>
      <c r="N16" s="16">
        <v>182.32900000000001</v>
      </c>
      <c r="O16" s="16">
        <v>202.90700000000001</v>
      </c>
      <c r="P16" s="16">
        <v>218.55600000000001</v>
      </c>
      <c r="Q16" s="16">
        <v>205.749</v>
      </c>
      <c r="R16" s="16">
        <v>238.30799999999999</v>
      </c>
      <c r="S16" s="16">
        <v>229.696</v>
      </c>
      <c r="T16" s="16">
        <v>229.012</v>
      </c>
      <c r="U16" s="16">
        <v>217.29499999999999</v>
      </c>
      <c r="V16" s="16">
        <v>197.24600000000001</v>
      </c>
      <c r="W16" s="16">
        <v>288.12299999999999</v>
      </c>
      <c r="X16" s="16">
        <v>255.1</v>
      </c>
      <c r="Y16" s="16">
        <v>287.56</v>
      </c>
      <c r="Z16" s="16">
        <v>250.447</v>
      </c>
      <c r="AA16" s="16">
        <v>281.19600000000003</v>
      </c>
      <c r="AB16" s="16">
        <v>281.19499999999999</v>
      </c>
      <c r="AC16" s="16">
        <v>263.512</v>
      </c>
      <c r="AD16" s="16">
        <v>233.08699999999999</v>
      </c>
      <c r="AE16" s="16">
        <v>232.773</v>
      </c>
      <c r="AF16" s="16">
        <v>234.65299999999999</v>
      </c>
      <c r="AG16" s="16">
        <v>244.52500000000001</v>
      </c>
      <c r="AH16" s="16">
        <v>260.38499999999999</v>
      </c>
      <c r="AI16" s="16">
        <v>260.38299999999998</v>
      </c>
      <c r="AJ16" s="16">
        <v>271.06299999999999</v>
      </c>
      <c r="AK16" s="16">
        <v>270.37700000000001</v>
      </c>
      <c r="AL16" s="16">
        <v>274.834</v>
      </c>
      <c r="AM16" s="16">
        <v>310.93400000000003</v>
      </c>
    </row>
    <row r="17" spans="1:39" x14ac:dyDescent="0.45">
      <c r="A17" s="17" t="s">
        <v>19</v>
      </c>
      <c r="B17" s="18">
        <v>15.266999999999999</v>
      </c>
      <c r="C17" s="18">
        <v>16.001999999999999</v>
      </c>
      <c r="D17" s="18">
        <v>11.157999999999999</v>
      </c>
      <c r="E17" s="18">
        <v>15.715</v>
      </c>
      <c r="F17" s="18">
        <v>15.78</v>
      </c>
      <c r="G17" s="18">
        <v>16.393999999999998</v>
      </c>
      <c r="H17" s="18">
        <v>16.966999999999999</v>
      </c>
      <c r="I17" s="18">
        <v>15.715999999999999</v>
      </c>
      <c r="J17" s="18">
        <v>16.779</v>
      </c>
      <c r="K17" s="18">
        <v>16.925000000000001</v>
      </c>
      <c r="L17" s="18">
        <v>18.363</v>
      </c>
      <c r="M17" s="18">
        <v>19.16</v>
      </c>
      <c r="N17" s="18">
        <v>21.100999999999999</v>
      </c>
      <c r="O17" s="18">
        <v>21.085999999999999</v>
      </c>
      <c r="P17" s="18">
        <v>16.109000000000002</v>
      </c>
      <c r="Q17" s="18">
        <v>20.073</v>
      </c>
      <c r="R17" s="18">
        <v>19.5</v>
      </c>
      <c r="S17" s="18">
        <v>18.375</v>
      </c>
      <c r="T17" s="18">
        <v>17.18</v>
      </c>
      <c r="U17" s="18">
        <v>15.47</v>
      </c>
      <c r="V17" s="18">
        <v>15.743</v>
      </c>
      <c r="W17" s="18">
        <v>17.850999999999999</v>
      </c>
      <c r="X17" s="18">
        <v>16.405999999999999</v>
      </c>
      <c r="Y17" s="18">
        <v>14.757</v>
      </c>
      <c r="Z17" s="18">
        <v>15.685</v>
      </c>
      <c r="AA17" s="18">
        <v>16.006</v>
      </c>
      <c r="AB17" s="18">
        <v>16.227</v>
      </c>
      <c r="AC17" s="18">
        <v>14.766999999999999</v>
      </c>
      <c r="AD17" s="18">
        <v>13.138</v>
      </c>
      <c r="AE17" s="18">
        <v>8.7929999999999993</v>
      </c>
      <c r="AF17" s="18">
        <v>-30.587</v>
      </c>
      <c r="AG17" s="18">
        <v>8.3350000000000009</v>
      </c>
      <c r="AH17" s="18">
        <v>6.52</v>
      </c>
      <c r="AI17" s="18">
        <v>7.9829999999999997</v>
      </c>
      <c r="AJ17" s="18">
        <v>8.5990000000000002</v>
      </c>
      <c r="AK17" s="18">
        <v>4.9459999999999997</v>
      </c>
      <c r="AL17" s="18">
        <v>8.9499999999999993</v>
      </c>
      <c r="AM17" s="18">
        <v>12.481</v>
      </c>
    </row>
    <row r="18" spans="1:39" x14ac:dyDescent="0.45">
      <c r="A18" s="17" t="s">
        <v>20</v>
      </c>
      <c r="B18" s="18">
        <v>15.58</v>
      </c>
      <c r="C18" s="18">
        <v>16.273</v>
      </c>
      <c r="D18" s="18">
        <v>15.911</v>
      </c>
      <c r="E18" s="18">
        <v>15.718999999999999</v>
      </c>
      <c r="F18" s="18">
        <v>15.725</v>
      </c>
      <c r="G18" s="18">
        <v>16.355</v>
      </c>
      <c r="H18" s="18">
        <v>16.366</v>
      </c>
      <c r="I18" s="18">
        <v>15.663</v>
      </c>
      <c r="J18" s="18">
        <v>16.824999999999999</v>
      </c>
      <c r="K18" s="18">
        <v>16.911999999999999</v>
      </c>
      <c r="L18" s="18">
        <v>18.379000000000001</v>
      </c>
      <c r="M18" s="18">
        <v>19.158999999999999</v>
      </c>
      <c r="N18" s="18">
        <v>22.152000000000001</v>
      </c>
      <c r="O18" s="18">
        <v>21.085999999999999</v>
      </c>
      <c r="P18" s="18">
        <v>18.678000000000001</v>
      </c>
      <c r="Q18" s="18">
        <v>19.876000000000001</v>
      </c>
      <c r="R18" s="18">
        <v>19.468</v>
      </c>
      <c r="S18" s="18">
        <v>18.349</v>
      </c>
      <c r="T18" s="18">
        <v>17.262</v>
      </c>
      <c r="U18" s="18">
        <v>15.241</v>
      </c>
      <c r="V18" s="18">
        <v>15.648999999999999</v>
      </c>
      <c r="W18" s="18">
        <v>17.96</v>
      </c>
      <c r="X18" s="18">
        <v>16.405999999999999</v>
      </c>
      <c r="Y18" s="18">
        <v>14.763</v>
      </c>
      <c r="Z18" s="18">
        <v>15.526</v>
      </c>
      <c r="AA18" s="18">
        <v>15.936</v>
      </c>
      <c r="AB18" s="18">
        <v>15.494999999999999</v>
      </c>
      <c r="AC18" s="18">
        <v>14.2</v>
      </c>
      <c r="AD18" s="18">
        <v>13.03</v>
      </c>
      <c r="AE18" s="18">
        <v>12.49</v>
      </c>
      <c r="AF18" s="18">
        <v>12.585000000000001</v>
      </c>
      <c r="AG18" s="18">
        <v>10.872</v>
      </c>
      <c r="AH18" s="18">
        <v>9.89</v>
      </c>
      <c r="AI18" s="18">
        <v>10.348000000000001</v>
      </c>
      <c r="AJ18" s="18">
        <v>10.624000000000001</v>
      </c>
      <c r="AK18" s="18">
        <v>8.5039999999999996</v>
      </c>
      <c r="AL18" s="18">
        <v>9.3970000000000002</v>
      </c>
      <c r="AM18" s="18">
        <v>13.202999999999999</v>
      </c>
    </row>
    <row r="19" spans="1:39" x14ac:dyDescent="0.45">
      <c r="A19" s="19" t="s">
        <v>21</v>
      </c>
      <c r="B19" s="20">
        <v>19.952000000000002</v>
      </c>
      <c r="C19" s="20">
        <v>20.105</v>
      </c>
      <c r="D19" s="20">
        <v>18.884</v>
      </c>
      <c r="E19" s="20">
        <v>19.266999999999999</v>
      </c>
      <c r="F19" s="20">
        <v>19.268000000000001</v>
      </c>
      <c r="G19" s="20">
        <v>19.422000000000001</v>
      </c>
      <c r="H19" s="20">
        <v>19.420999999999999</v>
      </c>
      <c r="I19" s="20">
        <v>18.565999999999999</v>
      </c>
      <c r="J19" s="20">
        <v>19.103999999999999</v>
      </c>
      <c r="K19" s="20">
        <v>20.291</v>
      </c>
      <c r="L19" s="20">
        <v>21.716000000000001</v>
      </c>
      <c r="M19" s="20">
        <v>22.718</v>
      </c>
      <c r="N19" s="20">
        <v>24.422000000000001</v>
      </c>
      <c r="O19" s="20">
        <v>23.411999999999999</v>
      </c>
      <c r="P19" s="20">
        <v>21.582000000000001</v>
      </c>
      <c r="Q19" s="20">
        <v>22.75</v>
      </c>
      <c r="R19" s="20">
        <v>23.065000000000001</v>
      </c>
      <c r="S19" s="20">
        <v>23.059000000000001</v>
      </c>
      <c r="T19" s="20">
        <v>22.391999999999999</v>
      </c>
      <c r="U19" s="20">
        <v>20.388000000000002</v>
      </c>
      <c r="V19" s="20">
        <v>20.193000000000001</v>
      </c>
      <c r="W19" s="20">
        <v>21.489000000000001</v>
      </c>
      <c r="X19" s="20">
        <v>20.434000000000001</v>
      </c>
      <c r="Y19" s="20">
        <v>19.015000000000001</v>
      </c>
      <c r="Z19" s="20">
        <v>18.024999999999999</v>
      </c>
      <c r="AA19" s="20">
        <v>18.709</v>
      </c>
      <c r="AB19" s="20">
        <v>18.661999999999999</v>
      </c>
      <c r="AC19" s="20">
        <v>16.888000000000002</v>
      </c>
      <c r="AD19" s="20">
        <v>15.826000000000001</v>
      </c>
      <c r="AE19" s="20">
        <v>15.673999999999999</v>
      </c>
      <c r="AF19" s="20">
        <v>16.184000000000001</v>
      </c>
      <c r="AG19" s="20">
        <v>13.632</v>
      </c>
      <c r="AH19" s="20">
        <v>12.189</v>
      </c>
      <c r="AI19" s="20">
        <v>12.907999999999999</v>
      </c>
      <c r="AJ19" s="20">
        <v>13.901</v>
      </c>
      <c r="AK19" s="20">
        <v>12.305</v>
      </c>
      <c r="AL19" s="20">
        <v>12.446</v>
      </c>
      <c r="AM19" s="20">
        <v>18.574000000000002</v>
      </c>
    </row>
    <row r="20" spans="1:39" x14ac:dyDescent="0.45">
      <c r="A20" s="19" t="s">
        <v>22</v>
      </c>
      <c r="B20" s="20">
        <v>4.3719999999999999</v>
      </c>
      <c r="C20" s="20">
        <v>3.8319999999999999</v>
      </c>
      <c r="D20" s="20">
        <v>2.9729999999999999</v>
      </c>
      <c r="E20" s="20">
        <v>3.548</v>
      </c>
      <c r="F20" s="20">
        <v>3.5430000000000001</v>
      </c>
      <c r="G20" s="20">
        <v>3.0670000000000002</v>
      </c>
      <c r="H20" s="20">
        <v>3.0550000000000002</v>
      </c>
      <c r="I20" s="20">
        <v>2.903</v>
      </c>
      <c r="J20" s="20">
        <v>2.2789999999999999</v>
      </c>
      <c r="K20" s="20">
        <v>3.379</v>
      </c>
      <c r="L20" s="20">
        <v>3.3370000000000002</v>
      </c>
      <c r="M20" s="20">
        <v>3.5590000000000002</v>
      </c>
      <c r="N20" s="20">
        <v>2.27</v>
      </c>
      <c r="O20" s="20">
        <v>2.3260000000000001</v>
      </c>
      <c r="P20" s="20">
        <v>2.9039999999999999</v>
      </c>
      <c r="Q20" s="20">
        <v>2.8740000000000001</v>
      </c>
      <c r="R20" s="20">
        <v>3.597</v>
      </c>
      <c r="S20" s="20">
        <v>4.71</v>
      </c>
      <c r="T20" s="20">
        <v>5.13</v>
      </c>
      <c r="U20" s="20">
        <v>5.1470000000000002</v>
      </c>
      <c r="V20" s="20">
        <v>4.5439999999999996</v>
      </c>
      <c r="W20" s="20">
        <v>3.5289999999999999</v>
      </c>
      <c r="X20" s="20">
        <v>4.0279999999999996</v>
      </c>
      <c r="Y20" s="20">
        <v>4.2519999999999998</v>
      </c>
      <c r="Z20" s="20">
        <v>2.4990000000000001</v>
      </c>
      <c r="AA20" s="20">
        <v>2.7730000000000001</v>
      </c>
      <c r="AB20" s="20">
        <v>3.1669999999999998</v>
      </c>
      <c r="AC20" s="20">
        <v>2.6880000000000002</v>
      </c>
      <c r="AD20" s="20">
        <v>2.7959999999999998</v>
      </c>
      <c r="AE20" s="20">
        <v>3.1840000000000002</v>
      </c>
      <c r="AF20" s="20">
        <v>3.5990000000000002</v>
      </c>
      <c r="AG20" s="20">
        <v>2.76</v>
      </c>
      <c r="AH20" s="20">
        <v>2.2989999999999999</v>
      </c>
      <c r="AI20" s="20">
        <v>2.56</v>
      </c>
      <c r="AJ20" s="20">
        <v>3.2770000000000001</v>
      </c>
      <c r="AK20" s="20">
        <v>3.8010000000000002</v>
      </c>
      <c r="AL20" s="20">
        <v>3.0489999999999999</v>
      </c>
      <c r="AM20" s="20">
        <v>5.3710000000000004</v>
      </c>
    </row>
    <row r="21" spans="1:39" x14ac:dyDescent="0.45">
      <c r="A21" s="17" t="s">
        <v>150</v>
      </c>
      <c r="B21" s="18">
        <v>-0.313</v>
      </c>
      <c r="C21" s="18">
        <v>0</v>
      </c>
      <c r="D21" s="18" t="s">
        <v>45</v>
      </c>
      <c r="E21" s="18" t="s">
        <v>45</v>
      </c>
      <c r="F21" s="18">
        <v>0</v>
      </c>
      <c r="G21" s="18">
        <v>0</v>
      </c>
      <c r="H21" s="18">
        <v>0</v>
      </c>
      <c r="I21" s="18" t="s">
        <v>45</v>
      </c>
      <c r="J21" s="18" t="s">
        <v>45</v>
      </c>
      <c r="K21" s="18" t="s">
        <v>45</v>
      </c>
      <c r="L21" s="18">
        <v>0</v>
      </c>
      <c r="M21" s="18" t="s">
        <v>45</v>
      </c>
      <c r="N21" s="18" t="s">
        <v>45</v>
      </c>
      <c r="O21" s="18" t="s">
        <v>45</v>
      </c>
      <c r="P21" s="18" t="s">
        <v>45</v>
      </c>
      <c r="Q21" s="18" t="s">
        <v>45</v>
      </c>
      <c r="R21" s="18" t="s">
        <v>45</v>
      </c>
      <c r="S21" s="18" t="s">
        <v>45</v>
      </c>
      <c r="T21" s="18" t="s">
        <v>45</v>
      </c>
      <c r="U21" s="18" t="s">
        <v>45</v>
      </c>
      <c r="V21" s="18" t="s">
        <v>45</v>
      </c>
      <c r="W21" s="18" t="s">
        <v>45</v>
      </c>
      <c r="X21" s="18" t="s">
        <v>45</v>
      </c>
      <c r="Y21" s="18" t="s">
        <v>45</v>
      </c>
      <c r="Z21" s="18" t="s">
        <v>45</v>
      </c>
      <c r="AA21" s="18" t="s">
        <v>45</v>
      </c>
      <c r="AB21" s="18" t="s">
        <v>45</v>
      </c>
      <c r="AC21" s="18" t="s">
        <v>45</v>
      </c>
      <c r="AD21" s="18" t="s">
        <v>45</v>
      </c>
      <c r="AE21" s="18" t="s">
        <v>45</v>
      </c>
      <c r="AF21" s="18" t="s">
        <v>45</v>
      </c>
      <c r="AG21" s="18" t="s">
        <v>45</v>
      </c>
      <c r="AH21" s="18" t="s">
        <v>45</v>
      </c>
      <c r="AI21" s="18" t="s">
        <v>45</v>
      </c>
      <c r="AJ21" s="18" t="s">
        <v>45</v>
      </c>
      <c r="AK21" s="18" t="s">
        <v>45</v>
      </c>
      <c r="AL21" s="18" t="s">
        <v>45</v>
      </c>
      <c r="AM21" s="18" t="s">
        <v>45</v>
      </c>
    </row>
    <row r="22" spans="1:39" x14ac:dyDescent="0.45">
      <c r="A22" s="17" t="s">
        <v>23</v>
      </c>
      <c r="B22" s="18">
        <v>0.03</v>
      </c>
      <c r="C22" s="18">
        <v>4.2999999999999997E-2</v>
      </c>
      <c r="D22" s="18">
        <v>0.153</v>
      </c>
      <c r="E22" s="18">
        <v>-4.0000000000000001E-3</v>
      </c>
      <c r="F22" s="18">
        <v>5.5E-2</v>
      </c>
      <c r="G22" s="18">
        <v>3.9E-2</v>
      </c>
      <c r="H22" s="18">
        <v>0.60099999999999998</v>
      </c>
      <c r="I22" s="18">
        <v>5.2999999999999999E-2</v>
      </c>
      <c r="J22" s="18">
        <v>-4.5999999999999999E-2</v>
      </c>
      <c r="K22" s="18">
        <v>1.2999999999999999E-2</v>
      </c>
      <c r="L22" s="18">
        <v>-1.6E-2</v>
      </c>
      <c r="M22" s="18">
        <v>1E-3</v>
      </c>
      <c r="N22" s="18">
        <v>-1.0509999999999999</v>
      </c>
      <c r="O22" s="18">
        <v>-2.7229999999999999</v>
      </c>
      <c r="P22" s="18">
        <v>-2.569</v>
      </c>
      <c r="Q22" s="18">
        <v>0.19700000000000001</v>
      </c>
      <c r="R22" s="18">
        <v>3.2000000000000001E-2</v>
      </c>
      <c r="S22" s="18">
        <v>2.5999999999999999E-2</v>
      </c>
      <c r="T22" s="18">
        <v>-8.2000000000000003E-2</v>
      </c>
      <c r="U22" s="18">
        <v>0.22900000000000001</v>
      </c>
      <c r="V22" s="18">
        <v>9.4E-2</v>
      </c>
      <c r="W22" s="18">
        <v>-0.109</v>
      </c>
      <c r="X22" s="18">
        <v>1.6E-2</v>
      </c>
      <c r="Y22" s="18">
        <v>-6.0000000000000001E-3</v>
      </c>
      <c r="Z22" s="18">
        <v>0.159</v>
      </c>
      <c r="AA22" s="18">
        <v>3.6999999999999998E-2</v>
      </c>
      <c r="AB22" s="18">
        <v>0.32900000000000001</v>
      </c>
      <c r="AC22" s="18">
        <v>-0.14499999999999999</v>
      </c>
      <c r="AD22" s="18">
        <v>6.3E-2</v>
      </c>
      <c r="AE22" s="18">
        <v>3.9E-2</v>
      </c>
      <c r="AF22" s="18">
        <v>2E-3</v>
      </c>
      <c r="AG22" s="18">
        <v>-4.8000000000000001E-2</v>
      </c>
      <c r="AH22" s="18">
        <v>0.11899999999999999</v>
      </c>
      <c r="AI22" s="18">
        <v>0.17899999999999999</v>
      </c>
      <c r="AJ22" s="18">
        <v>-5.1999999999999998E-2</v>
      </c>
      <c r="AK22" s="18">
        <v>0.1</v>
      </c>
      <c r="AL22" s="18">
        <v>0.1</v>
      </c>
      <c r="AM22" s="18">
        <v>-0.14099999999999999</v>
      </c>
    </row>
    <row r="23" spans="1:39" x14ac:dyDescent="0.45">
      <c r="A23" s="17" t="s">
        <v>24</v>
      </c>
      <c r="B23" s="18" t="s">
        <v>45</v>
      </c>
      <c r="C23" s="18" t="s">
        <v>45</v>
      </c>
      <c r="D23" s="18" t="s">
        <v>45</v>
      </c>
      <c r="E23" s="18" t="s">
        <v>45</v>
      </c>
      <c r="F23" s="18" t="s">
        <v>45</v>
      </c>
      <c r="G23" s="18" t="s">
        <v>45</v>
      </c>
      <c r="H23" s="18" t="s">
        <v>45</v>
      </c>
      <c r="I23" s="18" t="s">
        <v>45</v>
      </c>
      <c r="J23" s="18" t="s">
        <v>45</v>
      </c>
      <c r="K23" s="18" t="s">
        <v>45</v>
      </c>
      <c r="L23" s="18" t="s">
        <v>45</v>
      </c>
      <c r="M23" s="18" t="s">
        <v>45</v>
      </c>
      <c r="N23" s="18" t="s">
        <v>45</v>
      </c>
      <c r="O23" s="18" t="s">
        <v>45</v>
      </c>
      <c r="P23" s="18" t="s">
        <v>45</v>
      </c>
      <c r="Q23" s="18" t="s">
        <v>45</v>
      </c>
      <c r="R23" s="18" t="s">
        <v>45</v>
      </c>
      <c r="S23" s="18" t="s">
        <v>45</v>
      </c>
      <c r="T23" s="18" t="s">
        <v>45</v>
      </c>
      <c r="U23" s="18" t="s">
        <v>45</v>
      </c>
      <c r="V23" s="18" t="s">
        <v>45</v>
      </c>
      <c r="W23" s="18" t="s">
        <v>45</v>
      </c>
      <c r="X23" s="18" t="s">
        <v>45</v>
      </c>
      <c r="Y23" s="18" t="s">
        <v>45</v>
      </c>
      <c r="Z23" s="18" t="s">
        <v>45</v>
      </c>
      <c r="AA23" s="18">
        <v>3.3000000000000002E-2</v>
      </c>
      <c r="AB23" s="18">
        <v>0.40300000000000002</v>
      </c>
      <c r="AC23" s="18">
        <v>0.71199999999999997</v>
      </c>
      <c r="AD23" s="18">
        <v>4.4999999999999998E-2</v>
      </c>
      <c r="AE23" s="18">
        <v>-3.7360000000000002</v>
      </c>
      <c r="AF23" s="18">
        <v>-43.173999999999999</v>
      </c>
      <c r="AG23" s="18">
        <v>-2.4889999999999999</v>
      </c>
      <c r="AH23" s="18">
        <v>-3.4889999999999999</v>
      </c>
      <c r="AI23" s="18">
        <v>-2.544</v>
      </c>
      <c r="AJ23" s="18">
        <v>-1.9730000000000001</v>
      </c>
      <c r="AK23" s="18">
        <v>-3.6579999999999999</v>
      </c>
      <c r="AL23" s="18">
        <v>-0.54700000000000004</v>
      </c>
      <c r="AM23" s="18">
        <v>-0.58099999999999996</v>
      </c>
    </row>
    <row r="24" spans="1:39" x14ac:dyDescent="0.45">
      <c r="A24" s="17" t="s">
        <v>25</v>
      </c>
      <c r="B24" s="18">
        <v>-0.03</v>
      </c>
      <c r="C24" s="18">
        <v>-0.314</v>
      </c>
      <c r="D24" s="18">
        <v>-4.9059999999999997</v>
      </c>
      <c r="E24" s="18">
        <v>0</v>
      </c>
      <c r="F24" s="18">
        <v>0</v>
      </c>
      <c r="G24" s="18">
        <v>0</v>
      </c>
      <c r="H24" s="18">
        <v>0</v>
      </c>
      <c r="I24" s="18">
        <v>0</v>
      </c>
      <c r="J24" s="18">
        <v>0</v>
      </c>
      <c r="K24" s="18">
        <v>0</v>
      </c>
      <c r="L24" s="18">
        <v>0</v>
      </c>
      <c r="M24" s="18">
        <v>0</v>
      </c>
      <c r="N24" s="18">
        <v>0</v>
      </c>
      <c r="O24" s="18">
        <v>2.7229999999999999</v>
      </c>
      <c r="P24" s="18">
        <v>0</v>
      </c>
      <c r="Q24" s="18">
        <v>0</v>
      </c>
      <c r="R24" s="18">
        <v>0</v>
      </c>
      <c r="S24" s="18">
        <v>0</v>
      </c>
      <c r="T24" s="18">
        <v>0</v>
      </c>
      <c r="U24" s="18">
        <v>0</v>
      </c>
      <c r="V24" s="18">
        <v>0</v>
      </c>
      <c r="W24" s="18">
        <v>0</v>
      </c>
      <c r="X24" s="18">
        <v>-1.6E-2</v>
      </c>
      <c r="Y24" s="18">
        <v>0</v>
      </c>
      <c r="Z24" s="18">
        <v>0</v>
      </c>
      <c r="AA24" s="18">
        <v>0</v>
      </c>
      <c r="AB24" s="18">
        <v>0</v>
      </c>
      <c r="AC24" s="18">
        <v>0</v>
      </c>
      <c r="AD24" s="18">
        <v>0</v>
      </c>
      <c r="AE24" s="18">
        <v>0</v>
      </c>
      <c r="AF24" s="18">
        <v>0</v>
      </c>
      <c r="AG24" s="18">
        <v>0</v>
      </c>
      <c r="AH24" s="18">
        <v>0</v>
      </c>
      <c r="AI24" s="18">
        <v>0</v>
      </c>
      <c r="AJ24" s="18">
        <v>0</v>
      </c>
      <c r="AK24" s="18">
        <v>0</v>
      </c>
      <c r="AL24" s="18">
        <v>0</v>
      </c>
      <c r="AM24" s="18">
        <v>0</v>
      </c>
    </row>
    <row r="25" spans="1:39" x14ac:dyDescent="0.45">
      <c r="A25" s="15" t="s">
        <v>26</v>
      </c>
      <c r="B25" s="16">
        <v>162.01900000000001</v>
      </c>
      <c r="C25" s="16">
        <v>162.64599999999999</v>
      </c>
      <c r="D25" s="16">
        <v>170.917</v>
      </c>
      <c r="E25" s="16">
        <v>190.62200000000001</v>
      </c>
      <c r="F25" s="16">
        <v>191.99</v>
      </c>
      <c r="G25" s="16">
        <v>161.78700000000001</v>
      </c>
      <c r="H25" s="16">
        <v>183.17500000000001</v>
      </c>
      <c r="I25" s="16">
        <v>179.08199999999999</v>
      </c>
      <c r="J25" s="16">
        <v>174.58099999999999</v>
      </c>
      <c r="K25" s="16">
        <v>177.941</v>
      </c>
      <c r="L25" s="16">
        <v>146.78100000000001</v>
      </c>
      <c r="M25" s="16">
        <v>163.60400000000001</v>
      </c>
      <c r="N25" s="16">
        <v>161.22800000000001</v>
      </c>
      <c r="O25" s="16">
        <v>181.821</v>
      </c>
      <c r="P25" s="16">
        <v>202.447</v>
      </c>
      <c r="Q25" s="16">
        <v>185.67599999999999</v>
      </c>
      <c r="R25" s="16">
        <v>218.80799999999999</v>
      </c>
      <c r="S25" s="16">
        <v>211.321</v>
      </c>
      <c r="T25" s="16">
        <v>211.83199999999999</v>
      </c>
      <c r="U25" s="16">
        <v>201.82499999999999</v>
      </c>
      <c r="V25" s="16">
        <v>181.50299999999999</v>
      </c>
      <c r="W25" s="16">
        <v>270.27199999999999</v>
      </c>
      <c r="X25" s="16">
        <v>238.69399999999999</v>
      </c>
      <c r="Y25" s="16">
        <v>272.803</v>
      </c>
      <c r="Z25" s="16">
        <v>234.762</v>
      </c>
      <c r="AA25" s="16">
        <v>265.19</v>
      </c>
      <c r="AB25" s="16">
        <v>264.96800000000002</v>
      </c>
      <c r="AC25" s="16">
        <v>248.745</v>
      </c>
      <c r="AD25" s="16">
        <v>219.94900000000001</v>
      </c>
      <c r="AE25" s="16">
        <v>223.98</v>
      </c>
      <c r="AF25" s="16">
        <v>265.24</v>
      </c>
      <c r="AG25" s="16">
        <v>236.19</v>
      </c>
      <c r="AH25" s="16">
        <v>253.86500000000001</v>
      </c>
      <c r="AI25" s="16">
        <v>252.4</v>
      </c>
      <c r="AJ25" s="16">
        <v>262.464</v>
      </c>
      <c r="AK25" s="16">
        <v>265.43099999999998</v>
      </c>
      <c r="AL25" s="16">
        <v>265.88400000000001</v>
      </c>
      <c r="AM25" s="16">
        <v>298.45299999999997</v>
      </c>
    </row>
    <row r="26" spans="1:39" x14ac:dyDescent="0.45">
      <c r="A26" s="17" t="s">
        <v>27</v>
      </c>
      <c r="B26" s="18">
        <v>-2.9000000000000001E-2</v>
      </c>
      <c r="C26" s="18">
        <v>0.314</v>
      </c>
      <c r="D26" s="18">
        <v>4.7530000000000001</v>
      </c>
      <c r="E26" s="18">
        <v>-20.373000000000001</v>
      </c>
      <c r="F26" s="18">
        <v>0</v>
      </c>
      <c r="G26" s="18">
        <v>-15.864000000000001</v>
      </c>
      <c r="H26" s="18">
        <v>8.9920000000000009</v>
      </c>
      <c r="I26" s="18">
        <v>0</v>
      </c>
      <c r="J26" s="18">
        <v>0.157</v>
      </c>
      <c r="K26" s="18">
        <v>0</v>
      </c>
      <c r="L26" s="18">
        <v>1.3460000000000001</v>
      </c>
      <c r="M26" s="18">
        <v>0</v>
      </c>
      <c r="N26" s="18">
        <v>-0.376</v>
      </c>
      <c r="O26" s="18">
        <v>-0.34</v>
      </c>
      <c r="P26" s="18">
        <v>8.5990000000000002</v>
      </c>
      <c r="Q26" s="18">
        <v>0</v>
      </c>
      <c r="R26" s="18">
        <v>0</v>
      </c>
      <c r="S26" s="18">
        <v>0.01</v>
      </c>
      <c r="T26" s="18">
        <v>53.817999999999998</v>
      </c>
      <c r="U26" s="18">
        <v>-6.7000000000000004E-2</v>
      </c>
      <c r="V26" s="18">
        <v>6.7889999999999997</v>
      </c>
      <c r="W26" s="18">
        <v>-6.0000000000000001E-3</v>
      </c>
      <c r="X26" s="18">
        <v>20.510999999999999</v>
      </c>
      <c r="Y26" s="18">
        <v>-0.79300000000000004</v>
      </c>
      <c r="Z26" s="18">
        <v>-0.86</v>
      </c>
      <c r="AA26" s="18">
        <v>1.9E-2</v>
      </c>
      <c r="AB26" s="18">
        <v>-0.191</v>
      </c>
      <c r="AC26" s="18">
        <v>0</v>
      </c>
      <c r="AD26" s="18">
        <v>0</v>
      </c>
      <c r="AE26" s="18">
        <v>0</v>
      </c>
      <c r="AF26" s="18">
        <v>13.974</v>
      </c>
      <c r="AG26" s="18">
        <v>-0.69099999999999995</v>
      </c>
      <c r="AH26" s="18">
        <v>0</v>
      </c>
      <c r="AI26" s="18">
        <v>3.9E-2</v>
      </c>
      <c r="AJ26" s="18">
        <v>-0.64300000000000002</v>
      </c>
      <c r="AK26" s="18">
        <v>0</v>
      </c>
      <c r="AL26" s="18">
        <v>0</v>
      </c>
      <c r="AM26" s="18">
        <v>-5.2080000000000002</v>
      </c>
    </row>
    <row r="27" spans="1:39" x14ac:dyDescent="0.45">
      <c r="A27" s="17" t="s">
        <v>28</v>
      </c>
      <c r="B27" s="18">
        <v>-2.9000000000000001E-2</v>
      </c>
      <c r="C27" s="18">
        <v>-2.9000000000000001E-2</v>
      </c>
      <c r="D27" s="18">
        <v>-0.80800000000000005</v>
      </c>
      <c r="E27" s="18">
        <v>-0.20200000000000001</v>
      </c>
      <c r="F27" s="18" t="s">
        <v>45</v>
      </c>
      <c r="G27" s="18">
        <v>-0.19400000000000001</v>
      </c>
      <c r="H27" s="18">
        <v>-2.5999999999999999E-2</v>
      </c>
      <c r="I27" s="18" t="s">
        <v>45</v>
      </c>
      <c r="J27" s="18">
        <v>-0.82099999999999995</v>
      </c>
      <c r="K27" s="18" t="s">
        <v>45</v>
      </c>
      <c r="L27" s="18">
        <v>-0.217</v>
      </c>
      <c r="M27" s="18" t="s">
        <v>45</v>
      </c>
      <c r="N27" s="18">
        <v>-0.376</v>
      </c>
      <c r="O27" s="18">
        <v>-0.34</v>
      </c>
      <c r="P27" s="18">
        <v>0.17199999999999999</v>
      </c>
      <c r="Q27" s="18" t="s">
        <v>45</v>
      </c>
      <c r="R27" s="18" t="s">
        <v>45</v>
      </c>
      <c r="S27" s="18" t="s">
        <v>45</v>
      </c>
      <c r="T27" s="18">
        <v>-3.0000000000000001E-3</v>
      </c>
      <c r="U27" s="18">
        <v>-6.7000000000000004E-2</v>
      </c>
      <c r="V27" s="18">
        <v>-7.0000000000000007E-2</v>
      </c>
      <c r="W27" s="18">
        <v>-6.0000000000000001E-3</v>
      </c>
      <c r="X27" s="18">
        <v>-8.9999999999999993E-3</v>
      </c>
      <c r="Y27" s="18">
        <v>-0.79300000000000004</v>
      </c>
      <c r="Z27" s="18">
        <v>-0.92400000000000004</v>
      </c>
      <c r="AA27" s="18" t="s">
        <v>45</v>
      </c>
      <c r="AB27" s="18">
        <v>-0.23799999999999999</v>
      </c>
      <c r="AC27" s="18" t="s">
        <v>45</v>
      </c>
      <c r="AD27" s="18" t="s">
        <v>45</v>
      </c>
      <c r="AE27" s="18" t="s">
        <v>45</v>
      </c>
      <c r="AF27" s="18" t="s">
        <v>45</v>
      </c>
      <c r="AG27" s="18">
        <v>-0.72199999999999998</v>
      </c>
      <c r="AH27" s="18" t="s">
        <v>45</v>
      </c>
      <c r="AI27" s="18" t="s">
        <v>45</v>
      </c>
      <c r="AJ27" s="18">
        <v>-0.57299999999999995</v>
      </c>
      <c r="AK27" s="18" t="s">
        <v>45</v>
      </c>
      <c r="AL27" s="18" t="s">
        <v>45</v>
      </c>
      <c r="AM27" s="18">
        <v>-5.2080000000000002</v>
      </c>
    </row>
    <row r="28" spans="1:39" x14ac:dyDescent="0.45">
      <c r="A28" s="17" t="s">
        <v>29</v>
      </c>
      <c r="B28" s="18" t="s">
        <v>45</v>
      </c>
      <c r="C28" s="18">
        <v>0.34300000000000003</v>
      </c>
      <c r="D28" s="18">
        <v>5.5609999999999999</v>
      </c>
      <c r="E28" s="18">
        <v>0.21299999999999999</v>
      </c>
      <c r="F28" s="18" t="s">
        <v>45</v>
      </c>
      <c r="G28" s="18">
        <v>4.7140000000000004</v>
      </c>
      <c r="H28" s="18">
        <v>9.0180000000000007</v>
      </c>
      <c r="I28" s="18" t="s">
        <v>45</v>
      </c>
      <c r="J28" s="18">
        <v>0.97799999999999998</v>
      </c>
      <c r="K28" s="18" t="s">
        <v>45</v>
      </c>
      <c r="L28" s="18">
        <v>1.5629999999999999</v>
      </c>
      <c r="M28" s="18" t="s">
        <v>45</v>
      </c>
      <c r="N28" s="18" t="s">
        <v>45</v>
      </c>
      <c r="O28" s="18" t="s">
        <v>45</v>
      </c>
      <c r="P28" s="18">
        <v>8.4269999999999996</v>
      </c>
      <c r="Q28" s="18" t="s">
        <v>45</v>
      </c>
      <c r="R28" s="18" t="s">
        <v>45</v>
      </c>
      <c r="S28" s="18">
        <v>0.01</v>
      </c>
      <c r="T28" s="18">
        <v>53.820999999999998</v>
      </c>
      <c r="U28" s="18" t="s">
        <v>45</v>
      </c>
      <c r="V28" s="18">
        <v>6.859</v>
      </c>
      <c r="W28" s="18" t="s">
        <v>45</v>
      </c>
      <c r="X28" s="18">
        <v>20.52</v>
      </c>
      <c r="Y28" s="18" t="s">
        <v>45</v>
      </c>
      <c r="Z28" s="18">
        <v>6.4000000000000001E-2</v>
      </c>
      <c r="AA28" s="18">
        <v>1.9E-2</v>
      </c>
      <c r="AB28" s="18">
        <v>4.7E-2</v>
      </c>
      <c r="AC28" s="18" t="s">
        <v>45</v>
      </c>
      <c r="AD28" s="18" t="s">
        <v>45</v>
      </c>
      <c r="AE28" s="18" t="s">
        <v>45</v>
      </c>
      <c r="AF28" s="18">
        <v>13.974</v>
      </c>
      <c r="AG28" s="18">
        <v>3.1E-2</v>
      </c>
      <c r="AH28" s="18" t="s">
        <v>45</v>
      </c>
      <c r="AI28" s="18">
        <v>3.9E-2</v>
      </c>
      <c r="AJ28" s="18">
        <v>-7.0000000000000007E-2</v>
      </c>
      <c r="AK28" s="18" t="s">
        <v>45</v>
      </c>
      <c r="AL28" s="18" t="s">
        <v>45</v>
      </c>
      <c r="AM28" s="18" t="s">
        <v>45</v>
      </c>
    </row>
    <row r="29" spans="1:39" x14ac:dyDescent="0.45">
      <c r="A29" s="17" t="s">
        <v>151</v>
      </c>
      <c r="B29" s="18" t="s">
        <v>45</v>
      </c>
      <c r="C29" s="18" t="s">
        <v>45</v>
      </c>
      <c r="D29" s="18" t="s">
        <v>45</v>
      </c>
      <c r="E29" s="18">
        <v>-20.384</v>
      </c>
      <c r="F29" s="18" t="s">
        <v>45</v>
      </c>
      <c r="G29" s="18">
        <v>-20.384</v>
      </c>
      <c r="H29" s="18" t="s">
        <v>45</v>
      </c>
      <c r="I29" s="18" t="s">
        <v>45</v>
      </c>
      <c r="J29" s="18" t="s">
        <v>45</v>
      </c>
      <c r="K29" s="18" t="s">
        <v>45</v>
      </c>
      <c r="L29" s="18" t="s">
        <v>45</v>
      </c>
      <c r="M29" s="18" t="s">
        <v>45</v>
      </c>
      <c r="N29" s="18" t="s">
        <v>45</v>
      </c>
      <c r="O29" s="18" t="s">
        <v>45</v>
      </c>
      <c r="P29" s="18" t="s">
        <v>45</v>
      </c>
      <c r="Q29" s="18" t="s">
        <v>45</v>
      </c>
      <c r="R29" s="18" t="s">
        <v>45</v>
      </c>
      <c r="S29" s="18" t="s">
        <v>45</v>
      </c>
      <c r="T29" s="18" t="s">
        <v>45</v>
      </c>
      <c r="U29" s="18" t="s">
        <v>45</v>
      </c>
      <c r="V29" s="18" t="s">
        <v>45</v>
      </c>
      <c r="W29" s="18" t="s">
        <v>45</v>
      </c>
      <c r="X29" s="18" t="s">
        <v>45</v>
      </c>
      <c r="Y29" s="18" t="s">
        <v>45</v>
      </c>
      <c r="Z29" s="18" t="s">
        <v>45</v>
      </c>
      <c r="AA29" s="18" t="s">
        <v>45</v>
      </c>
      <c r="AB29" s="18" t="s">
        <v>45</v>
      </c>
      <c r="AC29" s="18" t="s">
        <v>45</v>
      </c>
      <c r="AD29" s="18" t="s">
        <v>45</v>
      </c>
      <c r="AE29" s="18" t="s">
        <v>45</v>
      </c>
      <c r="AF29" s="18" t="s">
        <v>45</v>
      </c>
      <c r="AG29" s="18" t="s">
        <v>45</v>
      </c>
      <c r="AH29" s="18" t="s">
        <v>45</v>
      </c>
      <c r="AI29" s="18" t="s">
        <v>45</v>
      </c>
      <c r="AJ29" s="18" t="s">
        <v>45</v>
      </c>
      <c r="AK29" s="18" t="s">
        <v>45</v>
      </c>
      <c r="AL29" s="18" t="s">
        <v>45</v>
      </c>
      <c r="AM29" s="18" t="s">
        <v>45</v>
      </c>
    </row>
    <row r="30" spans="1:39" x14ac:dyDescent="0.45">
      <c r="A30" s="15" t="s">
        <v>30</v>
      </c>
      <c r="B30" s="16">
        <v>162.048</v>
      </c>
      <c r="C30" s="16">
        <v>162.33199999999999</v>
      </c>
      <c r="D30" s="16">
        <v>166.16399999999999</v>
      </c>
      <c r="E30" s="16">
        <v>210.995</v>
      </c>
      <c r="F30" s="16">
        <v>191.99</v>
      </c>
      <c r="G30" s="16">
        <v>177.65100000000001</v>
      </c>
      <c r="H30" s="16">
        <v>174.18299999999999</v>
      </c>
      <c r="I30" s="16">
        <v>179.08199999999999</v>
      </c>
      <c r="J30" s="16">
        <v>174.42400000000001</v>
      </c>
      <c r="K30" s="16">
        <v>177.941</v>
      </c>
      <c r="L30" s="16">
        <v>145.435</v>
      </c>
      <c r="M30" s="16">
        <v>163.60400000000001</v>
      </c>
      <c r="N30" s="16">
        <v>161.60400000000001</v>
      </c>
      <c r="O30" s="16">
        <v>182.161</v>
      </c>
      <c r="P30" s="16">
        <v>193.84800000000001</v>
      </c>
      <c r="Q30" s="16">
        <v>185.67599999999999</v>
      </c>
      <c r="R30" s="16">
        <v>218.80799999999999</v>
      </c>
      <c r="S30" s="16">
        <v>211.31100000000001</v>
      </c>
      <c r="T30" s="16">
        <v>158.01400000000001</v>
      </c>
      <c r="U30" s="16">
        <v>201.892</v>
      </c>
      <c r="V30" s="16">
        <v>174.714</v>
      </c>
      <c r="W30" s="16">
        <v>270.27800000000002</v>
      </c>
      <c r="X30" s="16">
        <v>218.18299999999999</v>
      </c>
      <c r="Y30" s="16">
        <v>273.596</v>
      </c>
      <c r="Z30" s="16">
        <v>235.62200000000001</v>
      </c>
      <c r="AA30" s="16">
        <v>265.17099999999999</v>
      </c>
      <c r="AB30" s="16">
        <v>265.15899999999999</v>
      </c>
      <c r="AC30" s="16">
        <v>248.745</v>
      </c>
      <c r="AD30" s="16">
        <v>219.94900000000001</v>
      </c>
      <c r="AE30" s="16">
        <v>223.98</v>
      </c>
      <c r="AF30" s="16">
        <v>251.26599999999999</v>
      </c>
      <c r="AG30" s="16">
        <v>236.881</v>
      </c>
      <c r="AH30" s="16">
        <v>253.86500000000001</v>
      </c>
      <c r="AI30" s="16">
        <v>252.36099999999999</v>
      </c>
      <c r="AJ30" s="16">
        <v>263.10700000000003</v>
      </c>
      <c r="AK30" s="16">
        <v>265.43099999999998</v>
      </c>
      <c r="AL30" s="16">
        <v>265.88400000000001</v>
      </c>
      <c r="AM30" s="16">
        <v>303.661</v>
      </c>
    </row>
    <row r="31" spans="1:39" x14ac:dyDescent="0.45">
      <c r="A31" s="17" t="s">
        <v>31</v>
      </c>
      <c r="B31" s="18">
        <v>39.954999999999998</v>
      </c>
      <c r="C31" s="18">
        <v>32.290999999999997</v>
      </c>
      <c r="D31" s="18">
        <v>33.619</v>
      </c>
      <c r="E31" s="18">
        <v>39.917000000000002</v>
      </c>
      <c r="F31" s="18">
        <v>32.118000000000002</v>
      </c>
      <c r="G31" s="18">
        <v>26.617999999999999</v>
      </c>
      <c r="H31" s="18">
        <v>19.184999999999999</v>
      </c>
      <c r="I31" s="18">
        <v>38.192999999999998</v>
      </c>
      <c r="J31" s="18">
        <v>25.603999999999999</v>
      </c>
      <c r="K31" s="18">
        <v>27.12</v>
      </c>
      <c r="L31" s="18">
        <v>-65.546000000000006</v>
      </c>
      <c r="M31" s="18">
        <v>39.805999999999997</v>
      </c>
      <c r="N31" s="18">
        <v>39.792000000000002</v>
      </c>
      <c r="O31" s="18">
        <v>39.838999999999999</v>
      </c>
      <c r="P31" s="18">
        <v>48.305999999999997</v>
      </c>
      <c r="Q31" s="18">
        <v>45.771999999999998</v>
      </c>
      <c r="R31" s="18">
        <v>52.491</v>
      </c>
      <c r="S31" s="18">
        <v>52.075000000000003</v>
      </c>
      <c r="T31" s="18">
        <v>32.575000000000003</v>
      </c>
      <c r="U31" s="18">
        <v>49.085999999999999</v>
      </c>
      <c r="V31" s="18">
        <v>40.374000000000002</v>
      </c>
      <c r="W31" s="18">
        <v>66.429000000000002</v>
      </c>
      <c r="X31" s="18">
        <v>54.692</v>
      </c>
      <c r="Y31" s="18">
        <v>65.272999999999996</v>
      </c>
      <c r="Z31" s="18">
        <v>57.655000000000001</v>
      </c>
      <c r="AA31" s="18">
        <v>66.114999999999995</v>
      </c>
      <c r="AB31" s="18">
        <v>42.283000000000001</v>
      </c>
      <c r="AC31" s="18">
        <v>96.891999999999996</v>
      </c>
      <c r="AD31" s="18">
        <v>57.655999999999999</v>
      </c>
      <c r="AE31" s="18">
        <v>73.585999999999999</v>
      </c>
      <c r="AF31" s="18">
        <v>16.228000000000002</v>
      </c>
      <c r="AG31" s="18">
        <v>53.295000000000002</v>
      </c>
      <c r="AH31" s="18">
        <v>59.100999999999999</v>
      </c>
      <c r="AI31" s="18">
        <v>57.356999999999999</v>
      </c>
      <c r="AJ31" s="18">
        <v>57.029000000000003</v>
      </c>
      <c r="AK31" s="18">
        <v>60.923999999999999</v>
      </c>
      <c r="AL31" s="18">
        <v>62.134999999999998</v>
      </c>
      <c r="AM31" s="18">
        <v>70.587999999999994</v>
      </c>
    </row>
    <row r="32" spans="1:39" x14ac:dyDescent="0.45">
      <c r="A32" s="17" t="s">
        <v>32</v>
      </c>
      <c r="B32" s="18">
        <v>26.550999999999998</v>
      </c>
      <c r="C32" s="18">
        <v>21.914999999999999</v>
      </c>
      <c r="D32" s="18">
        <v>46.051000000000002</v>
      </c>
      <c r="E32" s="18">
        <v>39.085999999999999</v>
      </c>
      <c r="F32" s="18">
        <v>18.422000000000001</v>
      </c>
      <c r="G32" s="18">
        <v>24.526</v>
      </c>
      <c r="H32" s="18">
        <v>16.137</v>
      </c>
      <c r="I32" s="18">
        <v>22.454999999999998</v>
      </c>
      <c r="J32" s="18">
        <v>15.579000000000001</v>
      </c>
      <c r="K32" s="18">
        <v>19.739999999999998</v>
      </c>
      <c r="L32" s="18">
        <v>-25.035</v>
      </c>
      <c r="M32" s="18">
        <v>10.128</v>
      </c>
      <c r="N32" s="18">
        <v>8.7949999999999999</v>
      </c>
      <c r="O32" s="18">
        <v>33.718000000000004</v>
      </c>
      <c r="P32" s="18">
        <v>42.381</v>
      </c>
      <c r="Q32" s="18">
        <v>34.686</v>
      </c>
      <c r="R32" s="18">
        <v>63.572000000000003</v>
      </c>
      <c r="S32" s="18">
        <v>64.007000000000005</v>
      </c>
      <c r="T32" s="18">
        <v>25.956</v>
      </c>
      <c r="U32" s="18">
        <v>66.668000000000006</v>
      </c>
      <c r="V32" s="18">
        <v>7.0720000000000001</v>
      </c>
      <c r="W32" s="18">
        <v>61.384</v>
      </c>
      <c r="X32" s="18">
        <v>52.613</v>
      </c>
      <c r="Y32" s="18">
        <v>76.41</v>
      </c>
      <c r="Z32" s="18">
        <v>48.197000000000003</v>
      </c>
      <c r="AA32" s="18">
        <v>66.581999999999994</v>
      </c>
      <c r="AB32" s="18">
        <v>47.128999999999998</v>
      </c>
      <c r="AC32" s="18">
        <v>90.027000000000001</v>
      </c>
      <c r="AD32" s="18">
        <v>48.622999999999998</v>
      </c>
      <c r="AE32" s="18">
        <v>78.742000000000004</v>
      </c>
      <c r="AF32" s="18">
        <v>-15.478</v>
      </c>
      <c r="AG32" s="18">
        <v>59.933999999999997</v>
      </c>
      <c r="AH32" s="18">
        <v>51.505000000000003</v>
      </c>
      <c r="AI32" s="18">
        <v>56.219000000000001</v>
      </c>
      <c r="AJ32" s="18">
        <v>57.286999999999999</v>
      </c>
      <c r="AK32" s="18">
        <v>64.356999999999999</v>
      </c>
      <c r="AL32" s="18">
        <v>57.335000000000001</v>
      </c>
      <c r="AM32" s="18">
        <v>73.655000000000001</v>
      </c>
    </row>
    <row r="33" spans="1:39" x14ac:dyDescent="0.45">
      <c r="A33" s="17" t="s">
        <v>33</v>
      </c>
      <c r="B33" s="18">
        <v>13.404</v>
      </c>
      <c r="C33" s="18">
        <v>10.375999999999999</v>
      </c>
      <c r="D33" s="18">
        <v>-12.432</v>
      </c>
      <c r="E33" s="18">
        <v>0.83099999999999996</v>
      </c>
      <c r="F33" s="18">
        <v>13.696</v>
      </c>
      <c r="G33" s="18">
        <v>2.0920000000000001</v>
      </c>
      <c r="H33" s="18">
        <v>3.048</v>
      </c>
      <c r="I33" s="18">
        <v>15.738</v>
      </c>
      <c r="J33" s="18">
        <v>10.025</v>
      </c>
      <c r="K33" s="18">
        <v>7.38</v>
      </c>
      <c r="L33" s="18">
        <v>-40.511000000000003</v>
      </c>
      <c r="M33" s="18">
        <v>29.678000000000001</v>
      </c>
      <c r="N33" s="18">
        <v>30.997</v>
      </c>
      <c r="O33" s="18">
        <v>6.1210000000000004</v>
      </c>
      <c r="P33" s="18">
        <v>5.9249999999999998</v>
      </c>
      <c r="Q33" s="18">
        <v>11.086</v>
      </c>
      <c r="R33" s="18">
        <v>-11.081</v>
      </c>
      <c r="S33" s="18">
        <v>-11.932</v>
      </c>
      <c r="T33" s="18">
        <v>6.6189999999999998</v>
      </c>
      <c r="U33" s="18">
        <v>-17.582000000000001</v>
      </c>
      <c r="V33" s="18">
        <v>33.302</v>
      </c>
      <c r="W33" s="18">
        <v>5.0449999999999999</v>
      </c>
      <c r="X33" s="18">
        <v>2.0790000000000002</v>
      </c>
      <c r="Y33" s="18">
        <v>-11.137</v>
      </c>
      <c r="Z33" s="18">
        <v>9.4580000000000002</v>
      </c>
      <c r="AA33" s="18">
        <v>-0.46700000000000003</v>
      </c>
      <c r="AB33" s="18">
        <v>-4.8460000000000001</v>
      </c>
      <c r="AC33" s="18">
        <v>6.8650000000000002</v>
      </c>
      <c r="AD33" s="18">
        <v>9.0329999999999995</v>
      </c>
      <c r="AE33" s="18">
        <v>-5.1559999999999997</v>
      </c>
      <c r="AF33" s="18">
        <v>31.706</v>
      </c>
      <c r="AG33" s="18">
        <v>-6.6390000000000002</v>
      </c>
      <c r="AH33" s="18">
        <v>7.5960000000000001</v>
      </c>
      <c r="AI33" s="18">
        <v>1.1379999999999999</v>
      </c>
      <c r="AJ33" s="18">
        <v>-0.25800000000000001</v>
      </c>
      <c r="AK33" s="18">
        <v>-3.4329999999999998</v>
      </c>
      <c r="AL33" s="18">
        <v>4.8</v>
      </c>
      <c r="AM33" s="18">
        <v>-3.0670000000000002</v>
      </c>
    </row>
    <row r="34" spans="1:39" x14ac:dyDescent="0.45">
      <c r="A34" s="15" t="s">
        <v>34</v>
      </c>
      <c r="B34" s="16">
        <v>122.093</v>
      </c>
      <c r="C34" s="16">
        <v>130.041</v>
      </c>
      <c r="D34" s="16">
        <v>132.54499999999999</v>
      </c>
      <c r="E34" s="16">
        <v>171.078</v>
      </c>
      <c r="F34" s="16">
        <v>159.87200000000001</v>
      </c>
      <c r="G34" s="16">
        <v>151.03299999999999</v>
      </c>
      <c r="H34" s="16">
        <v>154.99799999999999</v>
      </c>
      <c r="I34" s="16">
        <v>140.88900000000001</v>
      </c>
      <c r="J34" s="16">
        <v>148.82</v>
      </c>
      <c r="K34" s="16">
        <v>150.821</v>
      </c>
      <c r="L34" s="16">
        <v>210.98099999999999</v>
      </c>
      <c r="M34" s="16">
        <v>123.798</v>
      </c>
      <c r="N34" s="16">
        <v>121.812</v>
      </c>
      <c r="O34" s="16">
        <v>142.322</v>
      </c>
      <c r="P34" s="16">
        <v>145.542</v>
      </c>
      <c r="Q34" s="16">
        <v>139.904</v>
      </c>
      <c r="R34" s="16">
        <v>166.31700000000001</v>
      </c>
      <c r="S34" s="16">
        <v>159.23599999999999</v>
      </c>
      <c r="T34" s="16">
        <v>125.43899999999999</v>
      </c>
      <c r="U34" s="16">
        <v>152.80600000000001</v>
      </c>
      <c r="V34" s="16">
        <v>134.34</v>
      </c>
      <c r="W34" s="16">
        <v>203.84899999999999</v>
      </c>
      <c r="X34" s="16">
        <v>163.49100000000001</v>
      </c>
      <c r="Y34" s="16">
        <v>208.32300000000001</v>
      </c>
      <c r="Z34" s="16">
        <v>177.96700000000001</v>
      </c>
      <c r="AA34" s="16">
        <v>199.05600000000001</v>
      </c>
      <c r="AB34" s="16">
        <v>222.876</v>
      </c>
      <c r="AC34" s="16">
        <v>151.85300000000001</v>
      </c>
      <c r="AD34" s="16">
        <v>162.29300000000001</v>
      </c>
      <c r="AE34" s="16">
        <v>150.39400000000001</v>
      </c>
      <c r="AF34" s="16">
        <v>235.03800000000001</v>
      </c>
      <c r="AG34" s="16">
        <v>183.58600000000001</v>
      </c>
      <c r="AH34" s="16">
        <v>194.76400000000001</v>
      </c>
      <c r="AI34" s="16">
        <v>195.00399999999999</v>
      </c>
      <c r="AJ34" s="16">
        <v>206.078</v>
      </c>
      <c r="AK34" s="16">
        <v>204.50700000000001</v>
      </c>
      <c r="AL34" s="16">
        <v>203.749</v>
      </c>
      <c r="AM34" s="16">
        <v>233.07300000000001</v>
      </c>
    </row>
    <row r="35" spans="1:39" x14ac:dyDescent="0.45">
      <c r="A35" s="17" t="s">
        <v>35</v>
      </c>
      <c r="B35" s="18">
        <v>0</v>
      </c>
      <c r="C35" s="18">
        <v>0</v>
      </c>
      <c r="D35" s="18">
        <v>0</v>
      </c>
      <c r="E35" s="18">
        <v>0</v>
      </c>
      <c r="F35" s="18">
        <v>0</v>
      </c>
      <c r="G35" s="18">
        <v>0</v>
      </c>
      <c r="H35" s="18">
        <v>0</v>
      </c>
      <c r="I35" s="18">
        <v>0</v>
      </c>
      <c r="J35" s="18">
        <v>0</v>
      </c>
      <c r="K35" s="18">
        <v>0</v>
      </c>
      <c r="L35" s="18">
        <v>0</v>
      </c>
      <c r="M35" s="18">
        <v>0</v>
      </c>
      <c r="N35" s="18">
        <v>0</v>
      </c>
      <c r="O35" s="18">
        <v>0</v>
      </c>
      <c r="P35" s="18">
        <v>0</v>
      </c>
      <c r="Q35" s="18">
        <v>0</v>
      </c>
      <c r="R35" s="18">
        <v>0</v>
      </c>
      <c r="S35" s="18">
        <v>0</v>
      </c>
      <c r="T35" s="18">
        <v>0</v>
      </c>
      <c r="U35" s="18">
        <v>0</v>
      </c>
      <c r="V35" s="18">
        <v>0</v>
      </c>
      <c r="W35" s="18">
        <v>0</v>
      </c>
      <c r="X35" s="18">
        <v>0</v>
      </c>
      <c r="Y35" s="18">
        <v>0</v>
      </c>
      <c r="Z35" s="18">
        <v>0</v>
      </c>
      <c r="AA35" s="18">
        <v>0</v>
      </c>
      <c r="AB35" s="18">
        <v>0</v>
      </c>
      <c r="AC35" s="18">
        <v>0</v>
      </c>
      <c r="AD35" s="18">
        <v>0</v>
      </c>
      <c r="AE35" s="18">
        <v>0</v>
      </c>
      <c r="AF35" s="18">
        <v>0</v>
      </c>
      <c r="AG35" s="18">
        <v>0</v>
      </c>
      <c r="AH35" s="18">
        <v>0</v>
      </c>
      <c r="AI35" s="18">
        <v>0</v>
      </c>
      <c r="AJ35" s="18">
        <v>0</v>
      </c>
      <c r="AK35" s="18">
        <v>0</v>
      </c>
      <c r="AL35" s="18">
        <v>0</v>
      </c>
      <c r="AM35" s="18">
        <v>0</v>
      </c>
    </row>
    <row r="36" spans="1:39" x14ac:dyDescent="0.45">
      <c r="A36" s="17" t="s">
        <v>36</v>
      </c>
      <c r="B36" s="18">
        <v>0</v>
      </c>
      <c r="C36" s="18">
        <v>0</v>
      </c>
      <c r="D36" s="18">
        <v>0</v>
      </c>
      <c r="E36" s="18">
        <v>0</v>
      </c>
      <c r="F36" s="18">
        <v>0</v>
      </c>
      <c r="G36" s="18">
        <v>0</v>
      </c>
      <c r="H36" s="18">
        <v>0</v>
      </c>
      <c r="I36" s="18">
        <v>0</v>
      </c>
      <c r="J36" s="18">
        <v>0</v>
      </c>
      <c r="K36" s="18">
        <v>0</v>
      </c>
      <c r="L36" s="18">
        <v>0</v>
      </c>
      <c r="M36" s="18">
        <v>0</v>
      </c>
      <c r="N36" s="18">
        <v>0</v>
      </c>
      <c r="O36" s="18">
        <v>0</v>
      </c>
      <c r="P36" s="18">
        <v>0</v>
      </c>
      <c r="Q36" s="18">
        <v>0</v>
      </c>
      <c r="R36" s="18">
        <v>0</v>
      </c>
      <c r="S36" s="18">
        <v>0</v>
      </c>
      <c r="T36" s="18">
        <v>0</v>
      </c>
      <c r="U36" s="18">
        <v>0</v>
      </c>
      <c r="V36" s="18">
        <v>0</v>
      </c>
      <c r="W36" s="18">
        <v>0</v>
      </c>
      <c r="X36" s="18">
        <v>0</v>
      </c>
      <c r="Y36" s="18">
        <v>0</v>
      </c>
      <c r="Z36" s="18">
        <v>0</v>
      </c>
      <c r="AA36" s="18">
        <v>0</v>
      </c>
      <c r="AB36" s="18">
        <v>0</v>
      </c>
      <c r="AC36" s="18">
        <v>0</v>
      </c>
      <c r="AD36" s="18">
        <v>0</v>
      </c>
      <c r="AE36" s="18">
        <v>0</v>
      </c>
      <c r="AF36" s="18">
        <v>0</v>
      </c>
      <c r="AG36" s="18">
        <v>0</v>
      </c>
      <c r="AH36" s="18">
        <v>0</v>
      </c>
      <c r="AI36" s="18">
        <v>0</v>
      </c>
      <c r="AJ36" s="18">
        <v>0</v>
      </c>
      <c r="AK36" s="18">
        <v>0</v>
      </c>
      <c r="AL36" s="18">
        <v>0</v>
      </c>
      <c r="AM36" s="18">
        <v>0</v>
      </c>
    </row>
    <row r="37" spans="1:39" x14ac:dyDescent="0.45">
      <c r="A37" s="17" t="s">
        <v>37</v>
      </c>
      <c r="B37" s="18">
        <v>0</v>
      </c>
      <c r="C37" s="18">
        <v>0</v>
      </c>
      <c r="D37" s="18">
        <v>0</v>
      </c>
      <c r="E37" s="18">
        <v>0</v>
      </c>
      <c r="F37" s="18">
        <v>0</v>
      </c>
      <c r="G37" s="18">
        <v>0</v>
      </c>
      <c r="H37" s="18">
        <v>0</v>
      </c>
      <c r="I37" s="18">
        <v>0</v>
      </c>
      <c r="J37" s="18">
        <v>0</v>
      </c>
      <c r="K37" s="18">
        <v>0</v>
      </c>
      <c r="L37" s="18">
        <v>0</v>
      </c>
      <c r="M37" s="18">
        <v>0</v>
      </c>
      <c r="N37" s="18">
        <v>0</v>
      </c>
      <c r="O37" s="18">
        <v>0</v>
      </c>
      <c r="P37" s="18">
        <v>0</v>
      </c>
      <c r="Q37" s="18">
        <v>0</v>
      </c>
      <c r="R37" s="18">
        <v>0</v>
      </c>
      <c r="S37" s="18">
        <v>0</v>
      </c>
      <c r="T37" s="18">
        <v>0</v>
      </c>
      <c r="U37" s="18">
        <v>0</v>
      </c>
      <c r="V37" s="18">
        <v>0</v>
      </c>
      <c r="W37" s="18">
        <v>0</v>
      </c>
      <c r="X37" s="18">
        <v>0</v>
      </c>
      <c r="Y37" s="18">
        <v>0</v>
      </c>
      <c r="Z37" s="18">
        <v>0</v>
      </c>
      <c r="AA37" s="18">
        <v>0</v>
      </c>
      <c r="AB37" s="18">
        <v>0</v>
      </c>
      <c r="AC37" s="18">
        <v>0</v>
      </c>
      <c r="AD37" s="18">
        <v>0</v>
      </c>
      <c r="AE37" s="18">
        <v>0</v>
      </c>
      <c r="AF37" s="18">
        <v>0</v>
      </c>
      <c r="AG37" s="18">
        <v>0</v>
      </c>
      <c r="AH37" s="18">
        <v>0</v>
      </c>
      <c r="AI37" s="18">
        <v>0</v>
      </c>
      <c r="AJ37" s="18">
        <v>0</v>
      </c>
      <c r="AK37" s="18">
        <v>0</v>
      </c>
      <c r="AL37" s="18">
        <v>0</v>
      </c>
      <c r="AM37" s="18">
        <v>0</v>
      </c>
    </row>
    <row r="38" spans="1:39" x14ac:dyDescent="0.45">
      <c r="A38" s="15" t="s">
        <v>38</v>
      </c>
      <c r="B38" s="16">
        <v>122.093</v>
      </c>
      <c r="C38" s="16">
        <v>130.041</v>
      </c>
      <c r="D38" s="16">
        <v>132.54499999999999</v>
      </c>
      <c r="E38" s="16">
        <v>171.078</v>
      </c>
      <c r="F38" s="16">
        <v>159.87200000000001</v>
      </c>
      <c r="G38" s="16">
        <v>151.03299999999999</v>
      </c>
      <c r="H38" s="16">
        <v>154.99799999999999</v>
      </c>
      <c r="I38" s="16">
        <v>140.88900000000001</v>
      </c>
      <c r="J38" s="16">
        <v>148.82</v>
      </c>
      <c r="K38" s="16">
        <v>150.821</v>
      </c>
      <c r="L38" s="16">
        <v>210.98099999999999</v>
      </c>
      <c r="M38" s="16">
        <v>123.798</v>
      </c>
      <c r="N38" s="16">
        <v>121.812</v>
      </c>
      <c r="O38" s="16">
        <v>142.322</v>
      </c>
      <c r="P38" s="16">
        <v>145.542</v>
      </c>
      <c r="Q38" s="16">
        <v>139.904</v>
      </c>
      <c r="R38" s="16">
        <v>166.31700000000001</v>
      </c>
      <c r="S38" s="16">
        <v>159.23599999999999</v>
      </c>
      <c r="T38" s="16">
        <v>125.43899999999999</v>
      </c>
      <c r="U38" s="16">
        <v>152.80600000000001</v>
      </c>
      <c r="V38" s="16">
        <v>134.34</v>
      </c>
      <c r="W38" s="16">
        <v>203.84899999999999</v>
      </c>
      <c r="X38" s="16">
        <v>163.49100000000001</v>
      </c>
      <c r="Y38" s="16">
        <v>208.32300000000001</v>
      </c>
      <c r="Z38" s="16">
        <v>177.96700000000001</v>
      </c>
      <c r="AA38" s="16">
        <v>199.05600000000001</v>
      </c>
      <c r="AB38" s="16">
        <v>222.876</v>
      </c>
      <c r="AC38" s="16">
        <v>151.85300000000001</v>
      </c>
      <c r="AD38" s="16">
        <v>162.29300000000001</v>
      </c>
      <c r="AE38" s="16">
        <v>150.39400000000001</v>
      </c>
      <c r="AF38" s="16">
        <v>235.03800000000001</v>
      </c>
      <c r="AG38" s="16">
        <v>183.58600000000001</v>
      </c>
      <c r="AH38" s="16">
        <v>194.76400000000001</v>
      </c>
      <c r="AI38" s="16">
        <v>195.00399999999999</v>
      </c>
      <c r="AJ38" s="16">
        <v>206.078</v>
      </c>
      <c r="AK38" s="16">
        <v>204.50700000000001</v>
      </c>
      <c r="AL38" s="16">
        <v>203.749</v>
      </c>
      <c r="AM38" s="16">
        <v>233.07300000000001</v>
      </c>
    </row>
    <row r="39" spans="1:39" x14ac:dyDescent="0.45">
      <c r="A39" s="17" t="s">
        <v>39</v>
      </c>
      <c r="B39" s="18">
        <v>0</v>
      </c>
      <c r="C39" s="18">
        <v>0</v>
      </c>
      <c r="D39" s="18">
        <v>0</v>
      </c>
      <c r="E39" s="18">
        <v>0</v>
      </c>
      <c r="F39" s="18">
        <v>0</v>
      </c>
      <c r="G39" s="18">
        <v>0</v>
      </c>
      <c r="H39" s="18">
        <v>0</v>
      </c>
      <c r="I39" s="18">
        <v>0</v>
      </c>
      <c r="J39" s="18">
        <v>0</v>
      </c>
      <c r="K39" s="18">
        <v>0</v>
      </c>
      <c r="L39" s="18">
        <v>0</v>
      </c>
      <c r="M39" s="18">
        <v>0</v>
      </c>
      <c r="N39" s="18">
        <v>0</v>
      </c>
      <c r="O39" s="18">
        <v>0</v>
      </c>
      <c r="P39" s="18">
        <v>0</v>
      </c>
      <c r="Q39" s="18">
        <v>0</v>
      </c>
      <c r="R39" s="18">
        <v>0</v>
      </c>
      <c r="S39" s="18">
        <v>0</v>
      </c>
      <c r="T39" s="18">
        <v>0</v>
      </c>
      <c r="U39" s="18">
        <v>0</v>
      </c>
      <c r="V39" s="18">
        <v>0</v>
      </c>
      <c r="W39" s="18">
        <v>0</v>
      </c>
      <c r="X39" s="18">
        <v>0</v>
      </c>
      <c r="Y39" s="18">
        <v>0</v>
      </c>
      <c r="Z39" s="18">
        <v>0</v>
      </c>
      <c r="AA39" s="18">
        <v>0</v>
      </c>
      <c r="AB39" s="18">
        <v>0</v>
      </c>
      <c r="AC39" s="18">
        <v>0</v>
      </c>
      <c r="AD39" s="18">
        <v>0</v>
      </c>
      <c r="AE39" s="18">
        <v>0</v>
      </c>
      <c r="AF39" s="18">
        <v>0</v>
      </c>
      <c r="AG39" s="18">
        <v>0</v>
      </c>
      <c r="AH39" s="18">
        <v>0</v>
      </c>
      <c r="AI39" s="18">
        <v>0</v>
      </c>
      <c r="AJ39" s="18">
        <v>0</v>
      </c>
      <c r="AK39" s="18">
        <v>0</v>
      </c>
      <c r="AL39" s="18">
        <v>0</v>
      </c>
      <c r="AM39" s="18">
        <v>0</v>
      </c>
    </row>
    <row r="40" spans="1:39" x14ac:dyDescent="0.45">
      <c r="A40" s="15" t="s">
        <v>40</v>
      </c>
      <c r="B40" s="16">
        <v>122.093</v>
      </c>
      <c r="C40" s="16">
        <v>130.041</v>
      </c>
      <c r="D40" s="16">
        <v>132.54499999999999</v>
      </c>
      <c r="E40" s="16">
        <v>171.078</v>
      </c>
      <c r="F40" s="16">
        <v>159.87200000000001</v>
      </c>
      <c r="G40" s="16">
        <v>151.03299999999999</v>
      </c>
      <c r="H40" s="16">
        <v>154.99799999999999</v>
      </c>
      <c r="I40" s="16">
        <v>140.88900000000001</v>
      </c>
      <c r="J40" s="16">
        <v>148.82</v>
      </c>
      <c r="K40" s="16">
        <v>150.821</v>
      </c>
      <c r="L40" s="16">
        <v>210.98099999999999</v>
      </c>
      <c r="M40" s="16">
        <v>123.798</v>
      </c>
      <c r="N40" s="16">
        <v>121.812</v>
      </c>
      <c r="O40" s="16">
        <v>142.322</v>
      </c>
      <c r="P40" s="16">
        <v>145.542</v>
      </c>
      <c r="Q40" s="16">
        <v>139.904</v>
      </c>
      <c r="R40" s="16">
        <v>166.31700000000001</v>
      </c>
      <c r="S40" s="16">
        <v>159.23599999999999</v>
      </c>
      <c r="T40" s="16">
        <v>125.43899999999999</v>
      </c>
      <c r="U40" s="16">
        <v>152.80600000000001</v>
      </c>
      <c r="V40" s="16">
        <v>134.34</v>
      </c>
      <c r="W40" s="16">
        <v>203.84899999999999</v>
      </c>
      <c r="X40" s="16">
        <v>163.49100000000001</v>
      </c>
      <c r="Y40" s="16">
        <v>208.32300000000001</v>
      </c>
      <c r="Z40" s="16">
        <v>177.96700000000001</v>
      </c>
      <c r="AA40" s="16">
        <v>199.05600000000001</v>
      </c>
      <c r="AB40" s="16">
        <v>222.876</v>
      </c>
      <c r="AC40" s="16">
        <v>151.85300000000001</v>
      </c>
      <c r="AD40" s="16">
        <v>162.29300000000001</v>
      </c>
      <c r="AE40" s="16">
        <v>150.39400000000001</v>
      </c>
      <c r="AF40" s="16">
        <v>235.03800000000001</v>
      </c>
      <c r="AG40" s="16">
        <v>183.58600000000001</v>
      </c>
      <c r="AH40" s="16">
        <v>194.76400000000001</v>
      </c>
      <c r="AI40" s="16">
        <v>195.00399999999999</v>
      </c>
      <c r="AJ40" s="16">
        <v>206.078</v>
      </c>
      <c r="AK40" s="16">
        <v>204.50700000000001</v>
      </c>
      <c r="AL40" s="16">
        <v>203.749</v>
      </c>
      <c r="AM40" s="16">
        <v>233.07300000000001</v>
      </c>
    </row>
    <row r="41" spans="1:39" x14ac:dyDescent="0.45">
      <c r="A41" s="17" t="s">
        <v>41</v>
      </c>
      <c r="B41" s="18">
        <v>0</v>
      </c>
      <c r="C41" s="18">
        <v>0</v>
      </c>
      <c r="D41" s="18">
        <v>0</v>
      </c>
      <c r="E41" s="18">
        <v>0</v>
      </c>
      <c r="F41" s="18">
        <v>0</v>
      </c>
      <c r="G41" s="18">
        <v>0</v>
      </c>
      <c r="H41" s="18">
        <v>0</v>
      </c>
      <c r="I41" s="18">
        <v>0</v>
      </c>
      <c r="J41" s="18">
        <v>0</v>
      </c>
      <c r="K41" s="18">
        <v>0</v>
      </c>
      <c r="L41" s="18">
        <v>0</v>
      </c>
      <c r="M41" s="18">
        <v>0</v>
      </c>
      <c r="N41" s="18">
        <v>0</v>
      </c>
      <c r="O41" s="18">
        <v>0</v>
      </c>
      <c r="P41" s="18">
        <v>0</v>
      </c>
      <c r="Q41" s="18">
        <v>0</v>
      </c>
      <c r="R41" s="18">
        <v>0</v>
      </c>
      <c r="S41" s="18">
        <v>0</v>
      </c>
      <c r="T41" s="18">
        <v>0</v>
      </c>
      <c r="U41" s="18">
        <v>0</v>
      </c>
      <c r="V41" s="18">
        <v>0</v>
      </c>
      <c r="W41" s="18">
        <v>0</v>
      </c>
      <c r="X41" s="18">
        <v>0</v>
      </c>
      <c r="Y41" s="18">
        <v>0</v>
      </c>
      <c r="Z41" s="18">
        <v>0</v>
      </c>
      <c r="AA41" s="18">
        <v>0</v>
      </c>
      <c r="AB41" s="18">
        <v>0</v>
      </c>
      <c r="AC41" s="18">
        <v>0</v>
      </c>
      <c r="AD41" s="18">
        <v>0</v>
      </c>
      <c r="AE41" s="18">
        <v>0</v>
      </c>
      <c r="AF41" s="18">
        <v>0</v>
      </c>
      <c r="AG41" s="18">
        <v>0</v>
      </c>
      <c r="AH41" s="18">
        <v>0</v>
      </c>
      <c r="AI41" s="18">
        <v>0</v>
      </c>
      <c r="AJ41" s="18">
        <v>0</v>
      </c>
      <c r="AK41" s="18">
        <v>0</v>
      </c>
      <c r="AL41" s="18">
        <v>0</v>
      </c>
      <c r="AM41" s="18">
        <v>0</v>
      </c>
    </row>
    <row r="42" spans="1:39" x14ac:dyDescent="0.45">
      <c r="A42" s="17" t="s">
        <v>42</v>
      </c>
      <c r="B42" s="18">
        <v>0</v>
      </c>
      <c r="C42" s="18">
        <v>0</v>
      </c>
      <c r="D42" s="18">
        <v>0</v>
      </c>
      <c r="E42" s="18">
        <v>0</v>
      </c>
      <c r="F42" s="18">
        <v>0</v>
      </c>
      <c r="G42" s="18">
        <v>0</v>
      </c>
      <c r="H42" s="18">
        <v>0</v>
      </c>
      <c r="I42" s="18">
        <v>0</v>
      </c>
      <c r="J42" s="18">
        <v>0</v>
      </c>
      <c r="K42" s="18">
        <v>0</v>
      </c>
      <c r="L42" s="18">
        <v>0</v>
      </c>
      <c r="M42" s="18">
        <v>0</v>
      </c>
      <c r="N42" s="18">
        <v>0</v>
      </c>
      <c r="O42" s="18">
        <v>0</v>
      </c>
      <c r="P42" s="18">
        <v>0</v>
      </c>
      <c r="Q42" s="18">
        <v>0</v>
      </c>
      <c r="R42" s="18">
        <v>0</v>
      </c>
      <c r="S42" s="18">
        <v>0</v>
      </c>
      <c r="T42" s="18">
        <v>0</v>
      </c>
      <c r="U42" s="18">
        <v>0</v>
      </c>
      <c r="V42" s="18">
        <v>0</v>
      </c>
      <c r="W42" s="18">
        <v>0</v>
      </c>
      <c r="X42" s="18">
        <v>0</v>
      </c>
      <c r="Y42" s="18">
        <v>0</v>
      </c>
      <c r="Z42" s="18">
        <v>0</v>
      </c>
      <c r="AA42" s="18">
        <v>0</v>
      </c>
      <c r="AB42" s="18">
        <v>0</v>
      </c>
      <c r="AC42" s="18">
        <v>0</v>
      </c>
      <c r="AD42" s="18">
        <v>0</v>
      </c>
      <c r="AE42" s="18">
        <v>0</v>
      </c>
      <c r="AF42" s="18">
        <v>0</v>
      </c>
      <c r="AG42" s="18">
        <v>0</v>
      </c>
      <c r="AH42" s="18">
        <v>0</v>
      </c>
      <c r="AI42" s="18">
        <v>0</v>
      </c>
      <c r="AJ42" s="18">
        <v>0</v>
      </c>
      <c r="AK42" s="18">
        <v>0</v>
      </c>
      <c r="AL42" s="18">
        <v>0</v>
      </c>
      <c r="AM42" s="18">
        <v>0</v>
      </c>
    </row>
    <row r="43" spans="1:39" x14ac:dyDescent="0.45">
      <c r="A43" s="15" t="s">
        <v>43</v>
      </c>
      <c r="B43" s="16">
        <v>122.093</v>
      </c>
      <c r="C43" s="16">
        <v>130.041</v>
      </c>
      <c r="D43" s="16">
        <v>132.54499999999999</v>
      </c>
      <c r="E43" s="16">
        <v>171.078</v>
      </c>
      <c r="F43" s="16">
        <v>159.87200000000001</v>
      </c>
      <c r="G43" s="16">
        <v>151.03299999999999</v>
      </c>
      <c r="H43" s="16">
        <v>154.99799999999999</v>
      </c>
      <c r="I43" s="16">
        <v>140.88900000000001</v>
      </c>
      <c r="J43" s="16">
        <v>148.82</v>
      </c>
      <c r="K43" s="16">
        <v>150.821</v>
      </c>
      <c r="L43" s="16">
        <v>210.98099999999999</v>
      </c>
      <c r="M43" s="16">
        <v>123.798</v>
      </c>
      <c r="N43" s="16">
        <v>121.812</v>
      </c>
      <c r="O43" s="16">
        <v>142.322</v>
      </c>
      <c r="P43" s="16">
        <v>145.542</v>
      </c>
      <c r="Q43" s="16">
        <v>139.904</v>
      </c>
      <c r="R43" s="16">
        <v>166.31700000000001</v>
      </c>
      <c r="S43" s="16">
        <v>159.23599999999999</v>
      </c>
      <c r="T43" s="16">
        <v>125.43899999999999</v>
      </c>
      <c r="U43" s="16">
        <v>152.80600000000001</v>
      </c>
      <c r="V43" s="16">
        <v>134.34</v>
      </c>
      <c r="W43" s="16">
        <v>203.84899999999999</v>
      </c>
      <c r="X43" s="16">
        <v>163.49100000000001</v>
      </c>
      <c r="Y43" s="16">
        <v>208.32300000000001</v>
      </c>
      <c r="Z43" s="16">
        <v>177.96700000000001</v>
      </c>
      <c r="AA43" s="16">
        <v>199.05600000000001</v>
      </c>
      <c r="AB43" s="16">
        <v>222.876</v>
      </c>
      <c r="AC43" s="16">
        <v>151.85300000000001</v>
      </c>
      <c r="AD43" s="16">
        <v>162.29300000000001</v>
      </c>
      <c r="AE43" s="16">
        <v>150.39400000000001</v>
      </c>
      <c r="AF43" s="16">
        <v>235.03800000000001</v>
      </c>
      <c r="AG43" s="16">
        <v>183.58600000000001</v>
      </c>
      <c r="AH43" s="16">
        <v>194.76400000000001</v>
      </c>
      <c r="AI43" s="16">
        <v>195.00399999999999</v>
      </c>
      <c r="AJ43" s="16">
        <v>206.078</v>
      </c>
      <c r="AK43" s="16">
        <v>204.50700000000001</v>
      </c>
      <c r="AL43" s="16">
        <v>203.749</v>
      </c>
      <c r="AM43" s="16">
        <v>233.07300000000001</v>
      </c>
    </row>
    <row r="44" spans="1:39" s="8" customFormat="1" x14ac:dyDescent="0.45">
      <c r="A44" s="37" t="s">
        <v>159</v>
      </c>
      <c r="Q44" s="8">
        <v>2.5299999999999998</v>
      </c>
      <c r="R44" s="8">
        <v>2.74</v>
      </c>
      <c r="S44" s="8">
        <v>2.77</v>
      </c>
      <c r="T44" s="8">
        <v>2.82</v>
      </c>
      <c r="U44" s="8">
        <v>2.52</v>
      </c>
      <c r="V44" s="8">
        <v>2.2799999999999998</v>
      </c>
      <c r="W44" s="8">
        <v>2.93</v>
      </c>
      <c r="X44" s="8">
        <v>2.77</v>
      </c>
      <c r="Y44" s="8">
        <v>2.66</v>
      </c>
      <c r="Z44" s="8">
        <v>2.65</v>
      </c>
      <c r="AA44" s="8">
        <v>2.63</v>
      </c>
      <c r="AB44" s="8">
        <v>2.4700000000000002</v>
      </c>
      <c r="AC44" s="8">
        <v>2.39</v>
      </c>
      <c r="AD44" s="8">
        <v>2.4900000000000002</v>
      </c>
      <c r="AE44" s="8">
        <v>2.59</v>
      </c>
      <c r="AF44" s="21">
        <v>2.58</v>
      </c>
      <c r="AG44" s="21">
        <v>2.5499999999999998</v>
      </c>
      <c r="AH44" s="21">
        <v>2.7</v>
      </c>
      <c r="AI44" s="21">
        <v>2.77</v>
      </c>
      <c r="AJ44" s="8">
        <v>2.87</v>
      </c>
      <c r="AK44" s="21">
        <v>2.67</v>
      </c>
      <c r="AL44" s="21">
        <v>2.73</v>
      </c>
      <c r="AM44" s="21">
        <v>2.7</v>
      </c>
    </row>
    <row r="45" spans="1:39" s="8" customFormat="1" x14ac:dyDescent="0.45">
      <c r="A45" s="37" t="s">
        <v>154</v>
      </c>
      <c r="Q45" s="8">
        <v>1.71</v>
      </c>
      <c r="R45" s="8">
        <v>1.83</v>
      </c>
      <c r="S45" s="8">
        <v>1.85</v>
      </c>
      <c r="T45" s="8">
        <v>1.84</v>
      </c>
      <c r="U45" s="8">
        <v>1.58</v>
      </c>
      <c r="V45" s="8">
        <v>1.46</v>
      </c>
      <c r="W45" s="8">
        <v>1.91</v>
      </c>
      <c r="X45" s="8">
        <v>1.8</v>
      </c>
      <c r="Y45" s="8">
        <v>1.69</v>
      </c>
      <c r="Z45" s="8">
        <v>1.7</v>
      </c>
      <c r="AA45" s="8">
        <v>1.79</v>
      </c>
      <c r="AB45" s="8">
        <v>1.57</v>
      </c>
      <c r="AC45" s="21">
        <v>1.42</v>
      </c>
      <c r="AD45" s="8">
        <v>1.55</v>
      </c>
      <c r="AE45" s="8">
        <v>1.55</v>
      </c>
      <c r="AF45" s="21">
        <v>1.56</v>
      </c>
      <c r="AG45" s="8">
        <v>1.52</v>
      </c>
      <c r="AH45" s="8">
        <v>1.58</v>
      </c>
      <c r="AI45" s="8">
        <v>1.61</v>
      </c>
      <c r="AJ45" s="8">
        <v>1.64</v>
      </c>
      <c r="AK45" s="8">
        <v>1.48</v>
      </c>
      <c r="AL45" s="8">
        <v>1.53</v>
      </c>
      <c r="AM45" s="8">
        <v>1.45</v>
      </c>
    </row>
    <row r="46" spans="1:39" s="8" customFormat="1" x14ac:dyDescent="0.45">
      <c r="A46" s="37" t="s">
        <v>155</v>
      </c>
      <c r="Q46" s="8">
        <v>0.82</v>
      </c>
      <c r="R46" s="8">
        <v>0.9</v>
      </c>
      <c r="S46" s="8">
        <v>0.92</v>
      </c>
      <c r="T46" s="8">
        <v>0.98</v>
      </c>
      <c r="U46" s="8">
        <v>0.94</v>
      </c>
      <c r="V46" s="8">
        <v>0.82</v>
      </c>
      <c r="W46" s="8">
        <v>1.03</v>
      </c>
      <c r="X46" s="8">
        <v>0.97</v>
      </c>
      <c r="Y46" s="8">
        <v>0.97</v>
      </c>
      <c r="Z46" s="8">
        <v>0.95</v>
      </c>
      <c r="AA46" s="8">
        <v>0.84</v>
      </c>
      <c r="AB46" s="8">
        <v>0.89</v>
      </c>
      <c r="AC46" s="21">
        <v>0.97</v>
      </c>
      <c r="AD46" s="8">
        <v>0.94</v>
      </c>
      <c r="AE46" s="8">
        <v>1.04</v>
      </c>
      <c r="AF46" s="21">
        <v>1.02</v>
      </c>
      <c r="AG46" s="8">
        <v>1.03</v>
      </c>
      <c r="AH46" s="8">
        <v>1.1200000000000001</v>
      </c>
      <c r="AI46" s="8">
        <v>1.1499999999999999</v>
      </c>
      <c r="AJ46" s="8">
        <v>1.23</v>
      </c>
      <c r="AK46" s="8">
        <v>1.2</v>
      </c>
      <c r="AL46" s="8">
        <v>1.19</v>
      </c>
      <c r="AM46" s="8">
        <v>1.25</v>
      </c>
    </row>
    <row r="47" spans="1:39" s="8" customFormat="1" x14ac:dyDescent="0.45">
      <c r="A47" s="37" t="s">
        <v>158</v>
      </c>
      <c r="Q47" s="8">
        <v>2.36</v>
      </c>
      <c r="R47" s="8">
        <v>2.33</v>
      </c>
      <c r="S47" s="8">
        <v>2.42</v>
      </c>
      <c r="T47" s="8">
        <v>2.76</v>
      </c>
      <c r="U47" s="8">
        <v>2.75</v>
      </c>
      <c r="V47" s="8">
        <v>2.14</v>
      </c>
      <c r="W47" s="8">
        <v>2.78</v>
      </c>
      <c r="X47" s="8">
        <v>3.19</v>
      </c>
      <c r="Y47" s="8">
        <v>3.03</v>
      </c>
      <c r="Z47" s="8">
        <v>2.71</v>
      </c>
      <c r="AA47" s="8">
        <v>2.58</v>
      </c>
      <c r="AB47" s="8">
        <v>2.94</v>
      </c>
      <c r="AC47" s="8">
        <v>2.66</v>
      </c>
      <c r="AD47" s="8">
        <v>2.8</v>
      </c>
      <c r="AE47" s="8">
        <v>3.41</v>
      </c>
      <c r="AF47" s="8">
        <v>3.25</v>
      </c>
      <c r="AG47" s="8">
        <v>2.89</v>
      </c>
      <c r="AH47" s="8">
        <v>2.5299999999999998</v>
      </c>
      <c r="AI47" s="8">
        <v>2.73</v>
      </c>
      <c r="AJ47" s="8">
        <v>3.45</v>
      </c>
      <c r="AK47" s="8">
        <v>2.76</v>
      </c>
      <c r="AL47" s="8">
        <v>2.92</v>
      </c>
      <c r="AM47" s="8">
        <v>3.33</v>
      </c>
    </row>
    <row r="48" spans="1:39" x14ac:dyDescent="0.45">
      <c r="A48" s="37" t="s">
        <v>169</v>
      </c>
      <c r="O48" s="8"/>
    </row>
    <row r="49" spans="1:40" x14ac:dyDescent="0.45">
      <c r="A49" s="37" t="s">
        <v>152</v>
      </c>
      <c r="Q49" s="5">
        <f>Q45/Q$44</f>
        <v>0.67588932806324109</v>
      </c>
      <c r="R49" s="5">
        <f t="shared" ref="R49:AM49" si="0">R45/R$44</f>
        <v>0.66788321167883213</v>
      </c>
      <c r="S49" s="5">
        <f t="shared" si="0"/>
        <v>0.66787003610108309</v>
      </c>
      <c r="T49" s="5">
        <f t="shared" si="0"/>
        <v>0.65248226950354615</v>
      </c>
      <c r="U49" s="5">
        <f t="shared" si="0"/>
        <v>0.62698412698412698</v>
      </c>
      <c r="V49" s="5">
        <f t="shared" si="0"/>
        <v>0.64035087719298245</v>
      </c>
      <c r="W49" s="5">
        <f t="shared" si="0"/>
        <v>0.65187713310580198</v>
      </c>
      <c r="X49" s="5">
        <f t="shared" si="0"/>
        <v>0.64981949458483756</v>
      </c>
      <c r="Y49" s="5">
        <f t="shared" si="0"/>
        <v>0.63533834586466165</v>
      </c>
      <c r="Z49" s="5">
        <f t="shared" si="0"/>
        <v>0.64150943396226412</v>
      </c>
      <c r="AA49" s="5">
        <f t="shared" si="0"/>
        <v>0.68060836501901145</v>
      </c>
      <c r="AB49" s="5">
        <f t="shared" si="0"/>
        <v>0.63562753036437247</v>
      </c>
      <c r="AC49" s="5">
        <f t="shared" si="0"/>
        <v>0.59414225941422583</v>
      </c>
      <c r="AD49" s="5">
        <f t="shared" si="0"/>
        <v>0.6224899598393574</v>
      </c>
      <c r="AE49" s="5">
        <f t="shared" si="0"/>
        <v>0.59845559845559848</v>
      </c>
      <c r="AF49" s="5">
        <f t="shared" si="0"/>
        <v>0.60465116279069764</v>
      </c>
      <c r="AG49" s="5">
        <f t="shared" si="0"/>
        <v>0.59607843137254912</v>
      </c>
      <c r="AH49" s="5">
        <f t="shared" si="0"/>
        <v>0.58518518518518514</v>
      </c>
      <c r="AI49" s="5">
        <f t="shared" si="0"/>
        <v>0.58122743682310474</v>
      </c>
      <c r="AJ49" s="5">
        <f t="shared" si="0"/>
        <v>0.5714285714285714</v>
      </c>
      <c r="AK49" s="5">
        <f t="shared" si="0"/>
        <v>0.55430711610486894</v>
      </c>
      <c r="AL49" s="5">
        <f t="shared" si="0"/>
        <v>0.56043956043956045</v>
      </c>
      <c r="AM49" s="5">
        <f t="shared" si="0"/>
        <v>0.53703703703703698</v>
      </c>
    </row>
    <row r="50" spans="1:40" x14ac:dyDescent="0.45">
      <c r="A50" s="37" t="s">
        <v>153</v>
      </c>
      <c r="Q50" s="5">
        <f>Q46/Q$44</f>
        <v>0.32411067193675891</v>
      </c>
      <c r="R50" s="5">
        <f t="shared" ref="R50:AM50" si="1">R46/R$44</f>
        <v>0.32846715328467152</v>
      </c>
      <c r="S50" s="5">
        <f t="shared" si="1"/>
        <v>0.33212996389891697</v>
      </c>
      <c r="T50" s="5">
        <f t="shared" si="1"/>
        <v>0.3475177304964539</v>
      </c>
      <c r="U50" s="5">
        <f t="shared" si="1"/>
        <v>0.37301587301587297</v>
      </c>
      <c r="V50" s="5">
        <f t="shared" si="1"/>
        <v>0.35964912280701755</v>
      </c>
      <c r="W50" s="5">
        <f t="shared" si="1"/>
        <v>0.35153583617747441</v>
      </c>
      <c r="X50" s="5">
        <f t="shared" si="1"/>
        <v>0.35018050541516244</v>
      </c>
      <c r="Y50" s="5">
        <f t="shared" si="1"/>
        <v>0.3646616541353383</v>
      </c>
      <c r="Z50" s="5">
        <f t="shared" si="1"/>
        <v>0.35849056603773582</v>
      </c>
      <c r="AA50" s="5">
        <f t="shared" si="1"/>
        <v>0.3193916349809886</v>
      </c>
      <c r="AB50" s="5">
        <f t="shared" si="1"/>
        <v>0.36032388663967607</v>
      </c>
      <c r="AC50" s="5">
        <f t="shared" si="1"/>
        <v>0.40585774058577401</v>
      </c>
      <c r="AD50" s="5">
        <f t="shared" si="1"/>
        <v>0.37751004016064249</v>
      </c>
      <c r="AE50" s="5">
        <f t="shared" si="1"/>
        <v>0.40154440154440157</v>
      </c>
      <c r="AF50" s="5">
        <f t="shared" si="1"/>
        <v>0.39534883720930231</v>
      </c>
      <c r="AG50" s="5">
        <f t="shared" si="1"/>
        <v>0.40392156862745104</v>
      </c>
      <c r="AH50" s="5">
        <f t="shared" si="1"/>
        <v>0.4148148148148148</v>
      </c>
      <c r="AI50" s="5">
        <f t="shared" si="1"/>
        <v>0.41516245487364617</v>
      </c>
      <c r="AJ50" s="5">
        <f t="shared" si="1"/>
        <v>0.42857142857142855</v>
      </c>
      <c r="AK50" s="5">
        <f t="shared" si="1"/>
        <v>0.449438202247191</v>
      </c>
      <c r="AL50" s="5">
        <f t="shared" si="1"/>
        <v>0.4358974358974359</v>
      </c>
      <c r="AM50" s="5">
        <f t="shared" si="1"/>
        <v>0.46296296296296291</v>
      </c>
      <c r="AN50" s="25"/>
    </row>
  </sheetData>
  <pageMargins left="0.7" right="0.7" top="0.75" bottom="0.75" header="0.3" footer="0.3"/>
  <drawing r:id="rId1"/>
  <extLst>
    <ext xmlns:x14="http://schemas.microsoft.com/office/spreadsheetml/2009/9/main" uri="{05C60535-1F16-4fd2-B633-F4F36F0B64E0}">
      <x14:sparklineGroups xmlns:xm="http://schemas.microsoft.com/office/excel/2006/main">
        <x14:sparklineGroup manualMax="0" manualMin="0" displayEmptyCellsAs="span" xr2:uid="{160FBFA4-B67B-45D2-977A-3949513134E3}">
          <x14:colorSeries rgb="FF376092"/>
          <x14:colorNegative rgb="FFD00000"/>
          <x14:colorAxis rgb="FF000000"/>
          <x14:colorMarkers rgb="FFD00000"/>
          <x14:colorFirst rgb="FFD00000"/>
          <x14:colorLast rgb="FFD00000"/>
          <x14:colorHigh rgb="FFD00000"/>
          <x14:colorLow rgb="FFD00000"/>
          <x14:sparklines>
            <x14:sparkline>
              <xm:f>IS!AD44:AM44</xm:f>
              <xm:sqref>AN44</xm:sqref>
            </x14:sparkline>
            <x14:sparkline>
              <xm:f>IS!AD45:AM45</xm:f>
              <xm:sqref>AN45</xm:sqref>
            </x14:sparkline>
            <x14:sparkline>
              <xm:f>IS!AD46:AM46</xm:f>
              <xm:sqref>AN46</xm:sqref>
            </x14:sparkline>
            <x14:sparkline>
              <xm:f>IS!AD47:AM47</xm:f>
              <xm:sqref>AN47</xm:sqref>
            </x14:sparkline>
          </x14:sparklines>
        </x14:sparklineGroup>
        <x14:sparklineGroup manualMax="0" manualMin="0" displayEmptyCellsAs="span" xr2:uid="{939B521D-917A-41D4-9316-F0BAA5B744B3}">
          <x14:colorSeries rgb="FF376092"/>
          <x14:colorNegative rgb="FFD00000"/>
          <x14:colorAxis rgb="FF000000"/>
          <x14:colorMarkers rgb="FFD00000"/>
          <x14:colorFirst rgb="FFD00000"/>
          <x14:colorLast rgb="FFD00000"/>
          <x14:colorHigh rgb="FFD00000"/>
          <x14:colorLow rgb="FFD00000"/>
          <x14:sparklines>
            <x14:sparkline>
              <xm:f>IS!B2:AM2</xm:f>
              <xm:sqref>AN2</xm:sqref>
            </x14:sparkline>
            <x14:sparkline>
              <xm:f>IS!B3:AM3</xm:f>
              <xm:sqref>AN3</xm:sqref>
            </x14:sparkline>
            <x14:sparkline>
              <xm:f>IS!B4:AM4</xm:f>
              <xm:sqref>AN4</xm:sqref>
            </x14:sparkline>
            <x14:sparkline>
              <xm:f>IS!B5:AM5</xm:f>
              <xm:sqref>AN5</xm:sqref>
            </x14:sparkline>
            <x14:sparkline>
              <xm:f>IS!B6:AM6</xm:f>
              <xm:sqref>AN6</xm:sqref>
            </x14:sparkline>
            <x14:sparkline>
              <xm:f>IS!B7:AM7</xm:f>
              <xm:sqref>AN7</xm:sqref>
            </x14:sparkline>
            <x14:sparkline>
              <xm:f>IS!B8:AM8</xm:f>
              <xm:sqref>AN8</xm:sqref>
            </x14:sparkline>
            <x14:sparkline>
              <xm:f>IS!B9:AM9</xm:f>
              <xm:sqref>AN9</xm:sqref>
            </x14:sparkline>
            <x14:sparkline>
              <xm:f>IS!B10:AM10</xm:f>
              <xm:sqref>AN10</xm:sqref>
            </x14:sparkline>
            <x14:sparkline>
              <xm:f>IS!B11:AM11</xm:f>
              <xm:sqref>AN11</xm:sqref>
            </x14:sparkline>
            <x14:sparkline>
              <xm:f>IS!B12:AM12</xm:f>
              <xm:sqref>AN12</xm:sqref>
            </x14:sparkline>
            <x14:sparkline>
              <xm:f>IS!B13:AM13</xm:f>
              <xm:sqref>AN13</xm:sqref>
            </x14:sparkline>
            <x14:sparkline>
              <xm:f>IS!B14:AM14</xm:f>
              <xm:sqref>AN14</xm:sqref>
            </x14:sparkline>
            <x14:sparkline>
              <xm:f>IS!B15:AM15</xm:f>
              <xm:sqref>AN15</xm:sqref>
            </x14:sparkline>
            <x14:sparkline>
              <xm:f>IS!B16:AM16</xm:f>
              <xm:sqref>AN16</xm:sqref>
            </x14:sparkline>
            <x14:sparkline>
              <xm:f>IS!B17:AM17</xm:f>
              <xm:sqref>AN17</xm:sqref>
            </x14:sparkline>
            <x14:sparkline>
              <xm:f>IS!B18:AM18</xm:f>
              <xm:sqref>AN18</xm:sqref>
            </x14:sparkline>
            <x14:sparkline>
              <xm:f>IS!B19:AM19</xm:f>
              <xm:sqref>AN19</xm:sqref>
            </x14:sparkline>
            <x14:sparkline>
              <xm:f>IS!B20:AM20</xm:f>
              <xm:sqref>AN20</xm:sqref>
            </x14:sparkline>
            <x14:sparkline>
              <xm:f>IS!B21:AM21</xm:f>
              <xm:sqref>AN21</xm:sqref>
            </x14:sparkline>
            <x14:sparkline>
              <xm:f>IS!B22:AM22</xm:f>
              <xm:sqref>AN22</xm:sqref>
            </x14:sparkline>
            <x14:sparkline>
              <xm:f>IS!B23:AM23</xm:f>
              <xm:sqref>AN23</xm:sqref>
            </x14:sparkline>
            <x14:sparkline>
              <xm:f>IS!B24:AM24</xm:f>
              <xm:sqref>AN24</xm:sqref>
            </x14:sparkline>
            <x14:sparkline>
              <xm:f>IS!B25:AM25</xm:f>
              <xm:sqref>AN25</xm:sqref>
            </x14:sparkline>
            <x14:sparkline>
              <xm:f>IS!B26:AM26</xm:f>
              <xm:sqref>AN26</xm:sqref>
            </x14:sparkline>
            <x14:sparkline>
              <xm:f>IS!B27:AM27</xm:f>
              <xm:sqref>AN27</xm:sqref>
            </x14:sparkline>
            <x14:sparkline>
              <xm:f>IS!B28:AM28</xm:f>
              <xm:sqref>AN28</xm:sqref>
            </x14:sparkline>
            <x14:sparkline>
              <xm:f>IS!B29:AM29</xm:f>
              <xm:sqref>AN29</xm:sqref>
            </x14:sparkline>
            <x14:sparkline>
              <xm:f>IS!B30:AM30</xm:f>
              <xm:sqref>AN30</xm:sqref>
            </x14:sparkline>
            <x14:sparkline>
              <xm:f>IS!B31:AM31</xm:f>
              <xm:sqref>AN31</xm:sqref>
            </x14:sparkline>
            <x14:sparkline>
              <xm:f>IS!B32:AM32</xm:f>
              <xm:sqref>AN32</xm:sqref>
            </x14:sparkline>
            <x14:sparkline>
              <xm:f>IS!B33:AM33</xm:f>
              <xm:sqref>AN33</xm:sqref>
            </x14:sparkline>
            <x14:sparkline>
              <xm:f>IS!B34:AM34</xm:f>
              <xm:sqref>AN34</xm:sqref>
            </x14:sparkline>
            <x14:sparkline>
              <xm:f>IS!B35:AM35</xm:f>
              <xm:sqref>AN35</xm:sqref>
            </x14:sparkline>
            <x14:sparkline>
              <xm:f>IS!B36:AM36</xm:f>
              <xm:sqref>AN36</xm:sqref>
            </x14:sparkline>
            <x14:sparkline>
              <xm:f>IS!B37:AM37</xm:f>
              <xm:sqref>AN37</xm:sqref>
            </x14:sparkline>
            <x14:sparkline>
              <xm:f>IS!B38:AM38</xm:f>
              <xm:sqref>AN38</xm:sqref>
            </x14:sparkline>
            <x14:sparkline>
              <xm:f>IS!B39:AM39</xm:f>
              <xm:sqref>AN39</xm:sqref>
            </x14:sparkline>
            <x14:sparkline>
              <xm:f>IS!B40:AM40</xm:f>
              <xm:sqref>AN40</xm:sqref>
            </x14:sparkline>
            <x14:sparkline>
              <xm:f>IS!B41:AM41</xm:f>
              <xm:sqref>AN41</xm:sqref>
            </x14:sparkline>
            <x14:sparkline>
              <xm:f>IS!B42:AM42</xm:f>
              <xm:sqref>AN42</xm:sqref>
            </x14:sparkline>
            <x14:sparkline>
              <xm:f>IS!B43:AM43</xm:f>
              <xm:sqref>AN43</xm:sqref>
            </x14:sparkline>
          </x14:sparklines>
        </x14:sparklineGroup>
      </x14:sparklineGroup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B0007F-BB2B-45EF-9814-68F0EDA47002}">
  <dimension ref="A1:I14"/>
  <sheetViews>
    <sheetView workbookViewId="0">
      <selection activeCell="K30" sqref="K30"/>
    </sheetView>
  </sheetViews>
  <sheetFormatPr defaultRowHeight="14.25" x14ac:dyDescent="0.45"/>
  <cols>
    <col min="4" max="4" width="16.86328125" bestFit="1" customWidth="1"/>
    <col min="5" max="5" width="16.33203125" bestFit="1" customWidth="1"/>
  </cols>
  <sheetData>
    <row r="1" spans="1:9" x14ac:dyDescent="0.45">
      <c r="A1" t="s">
        <v>81</v>
      </c>
      <c r="B1" t="s">
        <v>80</v>
      </c>
      <c r="D1" t="s">
        <v>84</v>
      </c>
      <c r="F1" s="3">
        <v>0.05</v>
      </c>
      <c r="G1" t="s">
        <v>85</v>
      </c>
    </row>
    <row r="2" spans="1:9" x14ac:dyDescent="0.45">
      <c r="B2" t="s">
        <v>82</v>
      </c>
      <c r="C2" t="s">
        <v>83</v>
      </c>
      <c r="D2" t="s">
        <v>86</v>
      </c>
      <c r="E2" t="s">
        <v>87</v>
      </c>
      <c r="F2" t="s">
        <v>88</v>
      </c>
    </row>
    <row r="3" spans="1:9" x14ac:dyDescent="0.45">
      <c r="A3">
        <v>0</v>
      </c>
      <c r="B3">
        <v>1000</v>
      </c>
      <c r="D3">
        <v>1000</v>
      </c>
      <c r="I3">
        <v>120</v>
      </c>
    </row>
    <row r="4" spans="1:9" x14ac:dyDescent="0.45">
      <c r="A4">
        <v>1</v>
      </c>
      <c r="B4">
        <v>900</v>
      </c>
      <c r="C4">
        <f>E4+F4</f>
        <v>-150</v>
      </c>
      <c r="D4">
        <f>D3+E4</f>
        <v>900</v>
      </c>
      <c r="E4">
        <v>-100</v>
      </c>
      <c r="F4">
        <f>-D3*$F$1</f>
        <v>-50</v>
      </c>
      <c r="G4">
        <f>-100+F4</f>
        <v>-150</v>
      </c>
      <c r="I4">
        <v>120</v>
      </c>
    </row>
    <row r="5" spans="1:9" x14ac:dyDescent="0.45">
      <c r="A5">
        <v>2</v>
      </c>
      <c r="B5">
        <v>800</v>
      </c>
      <c r="C5">
        <f t="shared" ref="C5:C13" si="0">E5+F5</f>
        <v>-145</v>
      </c>
      <c r="D5">
        <f t="shared" ref="D5:D13" si="1">D4+E5</f>
        <v>800</v>
      </c>
      <c r="E5">
        <v>-100</v>
      </c>
      <c r="F5">
        <f t="shared" ref="F5:F13" si="2">-D4*$F$1</f>
        <v>-45</v>
      </c>
      <c r="G5">
        <f t="shared" ref="G5:G13" si="3">-100+F5</f>
        <v>-145</v>
      </c>
      <c r="I5">
        <v>120</v>
      </c>
    </row>
    <row r="6" spans="1:9" x14ac:dyDescent="0.45">
      <c r="A6">
        <v>3</v>
      </c>
      <c r="B6">
        <v>700</v>
      </c>
      <c r="C6">
        <f t="shared" si="0"/>
        <v>-140</v>
      </c>
      <c r="D6">
        <f t="shared" si="1"/>
        <v>700</v>
      </c>
      <c r="E6">
        <v>-100</v>
      </c>
      <c r="F6">
        <f t="shared" si="2"/>
        <v>-40</v>
      </c>
      <c r="G6">
        <f t="shared" si="3"/>
        <v>-140</v>
      </c>
      <c r="I6">
        <v>120</v>
      </c>
    </row>
    <row r="7" spans="1:9" x14ac:dyDescent="0.45">
      <c r="A7">
        <v>4</v>
      </c>
      <c r="B7">
        <v>600</v>
      </c>
      <c r="C7">
        <f t="shared" si="0"/>
        <v>-135</v>
      </c>
      <c r="D7">
        <f t="shared" si="1"/>
        <v>600</v>
      </c>
      <c r="E7">
        <v>-100</v>
      </c>
      <c r="F7">
        <f t="shared" si="2"/>
        <v>-35</v>
      </c>
      <c r="G7">
        <f t="shared" si="3"/>
        <v>-135</v>
      </c>
      <c r="I7">
        <v>120</v>
      </c>
    </row>
    <row r="8" spans="1:9" x14ac:dyDescent="0.45">
      <c r="A8">
        <v>5</v>
      </c>
      <c r="B8">
        <v>500</v>
      </c>
      <c r="C8">
        <f t="shared" si="0"/>
        <v>-130</v>
      </c>
      <c r="D8">
        <f t="shared" si="1"/>
        <v>500</v>
      </c>
      <c r="E8">
        <v>-100</v>
      </c>
      <c r="F8">
        <f t="shared" si="2"/>
        <v>-30</v>
      </c>
      <c r="G8">
        <f t="shared" si="3"/>
        <v>-130</v>
      </c>
      <c r="I8">
        <v>120</v>
      </c>
    </row>
    <row r="9" spans="1:9" x14ac:dyDescent="0.45">
      <c r="A9">
        <v>6</v>
      </c>
      <c r="B9">
        <v>400</v>
      </c>
      <c r="C9">
        <f t="shared" si="0"/>
        <v>-125</v>
      </c>
      <c r="D9">
        <f t="shared" si="1"/>
        <v>400</v>
      </c>
      <c r="E9">
        <v>-100</v>
      </c>
      <c r="F9">
        <f t="shared" si="2"/>
        <v>-25</v>
      </c>
      <c r="G9">
        <f t="shared" si="3"/>
        <v>-125</v>
      </c>
      <c r="I9">
        <v>120</v>
      </c>
    </row>
    <row r="10" spans="1:9" x14ac:dyDescent="0.45">
      <c r="A10">
        <v>7</v>
      </c>
      <c r="B10">
        <v>300</v>
      </c>
      <c r="C10">
        <f t="shared" si="0"/>
        <v>-120</v>
      </c>
      <c r="D10">
        <f t="shared" si="1"/>
        <v>300</v>
      </c>
      <c r="E10">
        <v>-100</v>
      </c>
      <c r="F10">
        <f t="shared" si="2"/>
        <v>-20</v>
      </c>
      <c r="G10">
        <f t="shared" si="3"/>
        <v>-120</v>
      </c>
      <c r="I10">
        <v>120</v>
      </c>
    </row>
    <row r="11" spans="1:9" x14ac:dyDescent="0.45">
      <c r="A11">
        <v>8</v>
      </c>
      <c r="B11">
        <v>200</v>
      </c>
      <c r="C11">
        <f t="shared" si="0"/>
        <v>-115</v>
      </c>
      <c r="D11">
        <f t="shared" si="1"/>
        <v>200</v>
      </c>
      <c r="E11">
        <v>-100</v>
      </c>
      <c r="F11">
        <f t="shared" si="2"/>
        <v>-15</v>
      </c>
      <c r="G11">
        <f t="shared" si="3"/>
        <v>-115</v>
      </c>
      <c r="I11">
        <v>120</v>
      </c>
    </row>
    <row r="12" spans="1:9" x14ac:dyDescent="0.45">
      <c r="A12">
        <v>9</v>
      </c>
      <c r="B12">
        <v>100</v>
      </c>
      <c r="C12">
        <f t="shared" si="0"/>
        <v>-110</v>
      </c>
      <c r="D12">
        <f t="shared" si="1"/>
        <v>100</v>
      </c>
      <c r="E12">
        <v>-100</v>
      </c>
      <c r="F12">
        <f t="shared" si="2"/>
        <v>-10</v>
      </c>
      <c r="G12">
        <f t="shared" si="3"/>
        <v>-110</v>
      </c>
      <c r="I12">
        <v>120</v>
      </c>
    </row>
    <row r="13" spans="1:9" x14ac:dyDescent="0.45">
      <c r="A13">
        <v>10</v>
      </c>
      <c r="B13">
        <v>0</v>
      </c>
      <c r="C13">
        <f t="shared" si="0"/>
        <v>-105</v>
      </c>
      <c r="D13">
        <f t="shared" si="1"/>
        <v>0</v>
      </c>
      <c r="E13">
        <v>-100</v>
      </c>
      <c r="F13">
        <f t="shared" si="2"/>
        <v>-5</v>
      </c>
      <c r="G13">
        <f t="shared" si="3"/>
        <v>-105</v>
      </c>
      <c r="I13">
        <v>120</v>
      </c>
    </row>
    <row r="14" spans="1:9" x14ac:dyDescent="0.45">
      <c r="C14">
        <f>SUM(C4:C13)</f>
        <v>-1275</v>
      </c>
      <c r="G14">
        <f>SUM(G4:G13)</f>
        <v>-1275</v>
      </c>
      <c r="I14">
        <f>SUM(I3:I13)</f>
        <v>1320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B99DA0-5332-4B0C-9F35-FB0D46F21DB8}">
  <sheetPr>
    <tabColor theme="9" tint="0.79998168889431442"/>
  </sheetPr>
  <dimension ref="A1:U54"/>
  <sheetViews>
    <sheetView zoomScale="85" zoomScaleNormal="85" workbookViewId="0"/>
  </sheetViews>
  <sheetFormatPr defaultRowHeight="14.25" x14ac:dyDescent="0.45"/>
  <cols>
    <col min="1" max="1" width="62.73046875" customWidth="1"/>
    <col min="2" max="2" width="16.3984375" bestFit="1" customWidth="1"/>
    <col min="3" max="3" width="12.59765625" bestFit="1" customWidth="1"/>
    <col min="4" max="4" width="10.46484375" bestFit="1" customWidth="1"/>
    <col min="5" max="5" width="11.3984375" bestFit="1" customWidth="1"/>
    <col min="6" max="6" width="14.59765625" bestFit="1" customWidth="1"/>
    <col min="7" max="8" width="10.1328125" customWidth="1"/>
    <col min="9" max="9" width="10.06640625" customWidth="1"/>
    <col min="10" max="10" width="9.86328125" customWidth="1"/>
    <col min="11" max="19" width="10.1328125" customWidth="1"/>
    <col min="20" max="20" width="35.9296875" customWidth="1"/>
    <col min="21" max="21" width="17.59765625" bestFit="1" customWidth="1"/>
    <col min="24" max="24" width="11.73046875" bestFit="1" customWidth="1"/>
    <col min="25" max="25" width="14.53125" bestFit="1" customWidth="1"/>
  </cols>
  <sheetData>
    <row r="1" spans="1:21" x14ac:dyDescent="0.45">
      <c r="A1" s="88" t="s">
        <v>81</v>
      </c>
      <c r="B1">
        <v>2012</v>
      </c>
      <c r="C1">
        <v>2013</v>
      </c>
      <c r="D1">
        <v>2014</v>
      </c>
      <c r="E1">
        <v>2015</v>
      </c>
      <c r="F1">
        <v>2016</v>
      </c>
      <c r="G1">
        <v>2017</v>
      </c>
      <c r="H1">
        <v>2018</v>
      </c>
      <c r="I1">
        <v>2019</v>
      </c>
      <c r="J1">
        <v>2020</v>
      </c>
      <c r="K1">
        <v>2021</v>
      </c>
      <c r="L1">
        <v>2022</v>
      </c>
      <c r="M1">
        <v>2023</v>
      </c>
      <c r="N1">
        <v>2024</v>
      </c>
      <c r="O1">
        <v>2025</v>
      </c>
      <c r="P1">
        <v>2026</v>
      </c>
      <c r="Q1">
        <v>2027</v>
      </c>
      <c r="R1">
        <v>2028</v>
      </c>
      <c r="S1">
        <v>2029</v>
      </c>
    </row>
    <row r="2" spans="1:21" s="7" customFormat="1" x14ac:dyDescent="0.45">
      <c r="A2" s="88" t="s">
        <v>81</v>
      </c>
      <c r="B2" s="7" t="s">
        <v>209</v>
      </c>
      <c r="C2" s="7" t="s">
        <v>210</v>
      </c>
      <c r="D2" s="7" t="s">
        <v>211</v>
      </c>
      <c r="E2" s="7" t="s">
        <v>212</v>
      </c>
      <c r="F2" s="7" t="s">
        <v>213</v>
      </c>
      <c r="G2" s="7" t="s">
        <v>214</v>
      </c>
      <c r="H2" s="7" t="s">
        <v>215</v>
      </c>
      <c r="I2" s="7" t="s">
        <v>216</v>
      </c>
      <c r="J2" s="7" t="s">
        <v>217</v>
      </c>
      <c r="K2" s="7" t="s">
        <v>218</v>
      </c>
      <c r="L2" s="7" t="s">
        <v>219</v>
      </c>
      <c r="M2" s="7" t="s">
        <v>220</v>
      </c>
      <c r="N2" s="86" t="s">
        <v>221</v>
      </c>
      <c r="O2" s="87" t="s">
        <v>222</v>
      </c>
      <c r="P2" s="87" t="s">
        <v>223</v>
      </c>
      <c r="Q2" s="87" t="s">
        <v>224</v>
      </c>
      <c r="R2" s="87" t="s">
        <v>225</v>
      </c>
      <c r="S2" s="87" t="s">
        <v>226</v>
      </c>
    </row>
    <row r="3" spans="1:21" x14ac:dyDescent="0.45">
      <c r="A3" t="s">
        <v>3</v>
      </c>
      <c r="B3" s="8">
        <v>4.9000000000000004</v>
      </c>
      <c r="C3" s="8">
        <v>5.3</v>
      </c>
      <c r="D3" s="8">
        <v>5.9</v>
      </c>
      <c r="E3" s="8">
        <v>6.6</v>
      </c>
      <c r="F3" s="8">
        <v>7.39</v>
      </c>
      <c r="G3" s="8">
        <v>6.22</v>
      </c>
      <c r="H3" s="8">
        <v>6.226</v>
      </c>
      <c r="I3" s="8">
        <v>7.23</v>
      </c>
      <c r="J3" s="8">
        <v>6.7510000000000003</v>
      </c>
      <c r="K3" s="8">
        <v>6.75</v>
      </c>
      <c r="L3" s="8">
        <v>6.0839999999999996</v>
      </c>
      <c r="M3" s="8">
        <v>6.3479999999999999</v>
      </c>
      <c r="N3" s="42">
        <v>5.92</v>
      </c>
      <c r="O3" s="41">
        <f>C38</f>
        <v>6.3848733544607361</v>
      </c>
      <c r="P3" s="41">
        <f t="shared" ref="P3:S3" si="0">D38</f>
        <v>6.4329925057346333</v>
      </c>
      <c r="Q3" s="41">
        <f t="shared" si="0"/>
        <v>6.4824316570085312</v>
      </c>
      <c r="R3" s="41">
        <f t="shared" si="0"/>
        <v>6.5317508082824283</v>
      </c>
      <c r="S3" s="41">
        <f t="shared" si="0"/>
        <v>6.5810699595563253</v>
      </c>
    </row>
    <row r="4" spans="1:21" x14ac:dyDescent="0.45">
      <c r="A4" t="s">
        <v>4</v>
      </c>
      <c r="B4" s="8">
        <v>2</v>
      </c>
      <c r="C4" s="8">
        <v>2.2000000000000002</v>
      </c>
      <c r="D4" s="8">
        <v>2.5</v>
      </c>
      <c r="E4" s="8">
        <v>2.5</v>
      </c>
      <c r="F4" s="8">
        <v>2.556</v>
      </c>
      <c r="G4" s="8">
        <v>2.8050000000000002</v>
      </c>
      <c r="H4" s="8">
        <v>3.298</v>
      </c>
      <c r="I4" s="8">
        <v>3.6309999999999998</v>
      </c>
      <c r="J4" s="8">
        <v>3.7530000000000001</v>
      </c>
      <c r="K4" s="8">
        <v>3.65</v>
      </c>
      <c r="L4" s="8">
        <v>3.968</v>
      </c>
      <c r="M4" s="8">
        <v>4.5289999999999999</v>
      </c>
      <c r="N4" s="42">
        <v>4.91</v>
      </c>
      <c r="O4" s="41">
        <f>C33</f>
        <v>4.8754403391532115</v>
      </c>
      <c r="P4" s="41">
        <f>D33</f>
        <v>4.9745520151124536</v>
      </c>
      <c r="Q4" s="41">
        <f>E33</f>
        <v>5.2421611179045193</v>
      </c>
      <c r="R4" s="41">
        <f>F33</f>
        <v>5.6862642346192551</v>
      </c>
      <c r="S4" s="41">
        <f>G33</f>
        <v>6.0598274546390147</v>
      </c>
    </row>
    <row r="5" spans="1:21" x14ac:dyDescent="0.45">
      <c r="A5" t="s">
        <v>5</v>
      </c>
      <c r="B5" s="8">
        <f>B4+B3</f>
        <v>6.9</v>
      </c>
      <c r="C5" s="8">
        <f>C3+C4</f>
        <v>7.5</v>
      </c>
      <c r="D5" s="8">
        <v>8.4</v>
      </c>
      <c r="E5" s="8">
        <v>9.1</v>
      </c>
      <c r="F5" s="8">
        <v>9.9459999999999997</v>
      </c>
      <c r="G5" s="8">
        <v>9.0250000000000004</v>
      </c>
      <c r="H5" s="8">
        <v>9.5239999999999991</v>
      </c>
      <c r="I5" s="8">
        <v>10.861000000000001</v>
      </c>
      <c r="J5" s="8">
        <v>10.504</v>
      </c>
      <c r="K5" s="8">
        <v>10.4</v>
      </c>
      <c r="L5" s="8">
        <v>10.052</v>
      </c>
      <c r="M5" s="8">
        <v>10.875999999999999</v>
      </c>
      <c r="N5" s="42">
        <f t="shared" ref="N5:S5" si="1">N3+N4</f>
        <v>10.83</v>
      </c>
      <c r="O5" s="41">
        <f t="shared" si="1"/>
        <v>11.260313693613949</v>
      </c>
      <c r="P5" s="41">
        <f t="shared" si="1"/>
        <v>11.407544520847086</v>
      </c>
      <c r="Q5" s="41">
        <f t="shared" si="1"/>
        <v>11.724592774913051</v>
      </c>
      <c r="R5" s="41">
        <f t="shared" si="1"/>
        <v>12.218015042901683</v>
      </c>
      <c r="S5" s="41">
        <f t="shared" si="1"/>
        <v>12.64089741419534</v>
      </c>
    </row>
    <row r="6" spans="1:21" x14ac:dyDescent="0.45">
      <c r="A6" t="s">
        <v>2</v>
      </c>
      <c r="B6" s="8">
        <v>9.5</v>
      </c>
      <c r="C6" s="8">
        <v>11</v>
      </c>
      <c r="D6" s="8">
        <v>11</v>
      </c>
      <c r="E6" s="8">
        <v>11</v>
      </c>
      <c r="F6" s="8">
        <v>12</v>
      </c>
      <c r="G6" s="8">
        <v>13</v>
      </c>
      <c r="H6" s="8">
        <v>14</v>
      </c>
      <c r="I6" s="8">
        <v>13.9</v>
      </c>
      <c r="J6" s="8">
        <v>13.6</v>
      </c>
      <c r="K6" s="8">
        <v>13.6</v>
      </c>
      <c r="L6" s="8">
        <v>13.7</v>
      </c>
      <c r="M6" s="8">
        <v>13.7</v>
      </c>
      <c r="N6" s="42">
        <v>13.7</v>
      </c>
      <c r="O6" s="41">
        <v>13.7</v>
      </c>
      <c r="P6" s="41">
        <v>13.7</v>
      </c>
      <c r="Q6" s="41">
        <v>13.7</v>
      </c>
      <c r="R6" s="41">
        <v>15.2</v>
      </c>
      <c r="S6" s="41">
        <v>16.7</v>
      </c>
    </row>
    <row r="7" spans="1:21" x14ac:dyDescent="0.45">
      <c r="A7" t="s">
        <v>260</v>
      </c>
      <c r="B7" s="43">
        <v>10.199999999999999</v>
      </c>
      <c r="C7" s="8">
        <v>10.7</v>
      </c>
      <c r="D7" s="8">
        <v>10.3</v>
      </c>
      <c r="E7" s="8">
        <v>10.199999999999999</v>
      </c>
      <c r="F7" s="48">
        <v>11.8</v>
      </c>
      <c r="G7" s="8">
        <v>10.9</v>
      </c>
      <c r="H7" s="8">
        <v>10.7</v>
      </c>
      <c r="I7" s="8">
        <v>9.9</v>
      </c>
      <c r="J7" s="8">
        <v>10.9</v>
      </c>
      <c r="K7" s="8">
        <v>11.3</v>
      </c>
      <c r="L7" s="8">
        <v>12.1</v>
      </c>
      <c r="M7" s="8">
        <v>11.6</v>
      </c>
      <c r="N7" s="42">
        <v>12.59</v>
      </c>
      <c r="O7" s="41">
        <f>C43</f>
        <v>12.061980561078599</v>
      </c>
      <c r="P7" s="41">
        <f t="shared" ref="P7:S7" si="2">D43</f>
        <v>12.207457134865876</v>
      </c>
      <c r="Q7" s="41">
        <f t="shared" si="2"/>
        <v>12.352883708653142</v>
      </c>
      <c r="R7" s="41">
        <f t="shared" si="2"/>
        <v>12.498360282440409</v>
      </c>
      <c r="S7" s="41">
        <f t="shared" si="2"/>
        <v>12.643786856227676</v>
      </c>
    </row>
    <row r="8" spans="1:21" x14ac:dyDescent="0.45">
      <c r="A8" t="s">
        <v>207</v>
      </c>
      <c r="B8" s="49"/>
      <c r="C8" s="49"/>
      <c r="D8" s="8">
        <v>148.92857142857142</v>
      </c>
      <c r="E8" s="8">
        <v>144.61538461538461</v>
      </c>
      <c r="F8" s="8">
        <v>154.43394329378646</v>
      </c>
      <c r="G8" s="8">
        <v>160.77562326869804</v>
      </c>
      <c r="H8" s="8">
        <v>141.747165056699</v>
      </c>
      <c r="I8" s="8">
        <v>141.51551422520944</v>
      </c>
      <c r="J8" s="8">
        <v>152.798933739528</v>
      </c>
      <c r="K8" s="8">
        <v>166.82692307692307</v>
      </c>
      <c r="L8" s="8">
        <v>176.48229208117789</v>
      </c>
      <c r="M8" s="8">
        <v>165.96175064361898</v>
      </c>
      <c r="N8" s="42">
        <v>177</v>
      </c>
      <c r="O8" s="41">
        <f>(1-O10)*O11+O10*O12</f>
        <v>182.88422551267604</v>
      </c>
      <c r="P8" s="41">
        <f t="shared" ref="P8:S8" si="3">(1-P10)*P11+P10*P12</f>
        <v>187.5324461849558</v>
      </c>
      <c r="Q8" s="41">
        <f t="shared" si="3"/>
        <v>188.57814107805967</v>
      </c>
      <c r="R8" s="41">
        <f t="shared" si="3"/>
        <v>190.31189211106579</v>
      </c>
      <c r="S8" s="41">
        <f t="shared" si="3"/>
        <v>191.63721002206609</v>
      </c>
    </row>
    <row r="9" spans="1:21" x14ac:dyDescent="0.45">
      <c r="A9" t="s">
        <v>0</v>
      </c>
      <c r="B9" s="9">
        <f>B5/B6</f>
        <v>0.72631578947368425</v>
      </c>
      <c r="C9" s="9">
        <f>C5/C6</f>
        <v>0.68181818181818177</v>
      </c>
      <c r="D9" s="9">
        <v>0.76</v>
      </c>
      <c r="E9" s="9">
        <v>0.83</v>
      </c>
      <c r="F9" s="9">
        <v>0.82883333333333331</v>
      </c>
      <c r="G9" s="9">
        <v>0.69423076923076921</v>
      </c>
      <c r="H9" s="9">
        <v>0.68</v>
      </c>
      <c r="I9" s="9">
        <v>0.78</v>
      </c>
      <c r="J9" s="9">
        <v>0.77</v>
      </c>
      <c r="K9" s="9">
        <v>0.77</v>
      </c>
      <c r="L9" s="9">
        <v>0.74</v>
      </c>
      <c r="M9" s="9">
        <v>0.79</v>
      </c>
      <c r="N9" s="50">
        <f>N5/N6</f>
        <v>0.79051094890510953</v>
      </c>
      <c r="O9" s="47">
        <f t="shared" ref="O9:S9" si="4">O5/O6</f>
        <v>0.82192070756306201</v>
      </c>
      <c r="P9" s="47">
        <f t="shared" si="4"/>
        <v>0.83266748327350992</v>
      </c>
      <c r="Q9" s="47">
        <f t="shared" si="4"/>
        <v>0.85580969159949283</v>
      </c>
      <c r="R9" s="47">
        <f t="shared" si="4"/>
        <v>0.80381677913826866</v>
      </c>
      <c r="S9" s="47">
        <f t="shared" si="4"/>
        <v>0.75693996492187665</v>
      </c>
    </row>
    <row r="10" spans="1:21" x14ac:dyDescent="0.45">
      <c r="A10" t="s">
        <v>186</v>
      </c>
      <c r="B10" s="9">
        <f>B4/(B4+B3)</f>
        <v>0.28985507246376813</v>
      </c>
      <c r="C10" s="9">
        <f>C4/(C4+C3)</f>
        <v>0.29333333333333333</v>
      </c>
      <c r="D10" s="9">
        <f>D4/(D4+D3)</f>
        <v>0.29761904761904762</v>
      </c>
      <c r="E10" s="9">
        <f t="shared" ref="E10:S10" si="5">E4/(E4+E3)</f>
        <v>0.27472527472527475</v>
      </c>
      <c r="F10" s="9">
        <f t="shared" si="5"/>
        <v>0.25698773376231654</v>
      </c>
      <c r="G10" s="9">
        <f t="shared" si="5"/>
        <v>0.310803324099723</v>
      </c>
      <c r="H10" s="9">
        <f t="shared" si="5"/>
        <v>0.34628307433851319</v>
      </c>
      <c r="I10" s="9">
        <f t="shared" si="5"/>
        <v>0.33431544056716689</v>
      </c>
      <c r="J10" s="9">
        <f t="shared" si="5"/>
        <v>0.35729246001523224</v>
      </c>
      <c r="K10" s="9">
        <f t="shared" si="5"/>
        <v>0.35096153846153844</v>
      </c>
      <c r="L10" s="9">
        <f t="shared" si="5"/>
        <v>0.39474731396736967</v>
      </c>
      <c r="M10" s="9">
        <f t="shared" si="5"/>
        <v>0.41638319389537559</v>
      </c>
      <c r="N10" s="50">
        <f t="shared" si="5"/>
        <v>0.45337026777469991</v>
      </c>
      <c r="O10" s="47">
        <f t="shared" si="5"/>
        <v>0.43297553441323888</v>
      </c>
      <c r="P10" s="47">
        <f t="shared" si="5"/>
        <v>0.4360756169762518</v>
      </c>
      <c r="Q10" s="47">
        <f t="shared" si="5"/>
        <v>0.44710816132745346</v>
      </c>
      <c r="R10" s="47">
        <f t="shared" si="5"/>
        <v>0.46540000275436</v>
      </c>
      <c r="S10" s="47">
        <f t="shared" si="5"/>
        <v>0.47938269381365395</v>
      </c>
    </row>
    <row r="11" spans="1:21" x14ac:dyDescent="0.45">
      <c r="A11" s="30" t="s">
        <v>199</v>
      </c>
      <c r="B11" s="49"/>
      <c r="C11" s="49"/>
      <c r="D11" s="41">
        <f>$B$49*D12</f>
        <v>124.83934641956354</v>
      </c>
      <c r="E11" s="41">
        <f>$B$49*E12</f>
        <v>122.7511275112751</v>
      </c>
      <c r="F11" s="41">
        <f>$B$49*F12</f>
        <v>132.37742567881125</v>
      </c>
      <c r="G11" s="41">
        <f>$B$49*G12</f>
        <v>133.81132381406002</v>
      </c>
      <c r="H11" s="41">
        <f>$B$49*H12</f>
        <v>115.7579720823998</v>
      </c>
      <c r="I11" s="41">
        <f>$B$49*I12</f>
        <v>116.30577591511582</v>
      </c>
      <c r="J11" s="41">
        <f>$B$49*J12</f>
        <v>124.06023659401136</v>
      </c>
      <c r="K11" s="41">
        <f>$B$49*K12</f>
        <v>135.90273294598666</v>
      </c>
      <c r="L11" s="41">
        <f>$B$49*L12</f>
        <v>140.51864308818256</v>
      </c>
      <c r="M11" s="41">
        <f>$B$49*M12</f>
        <v>130.68237886753298</v>
      </c>
      <c r="N11" s="42">
        <f>$B$49*N12</f>
        <v>136.79114976239393</v>
      </c>
      <c r="O11" s="41">
        <v>142.79999999999998</v>
      </c>
      <c r="P11" s="41">
        <f>$C$53</f>
        <v>146.19999999999999</v>
      </c>
      <c r="Q11" s="41">
        <f t="shared" ref="Q11:S11" si="6">$C$53</f>
        <v>146.19999999999999</v>
      </c>
      <c r="R11" s="41">
        <f t="shared" si="6"/>
        <v>146.19999999999999</v>
      </c>
      <c r="S11" s="41">
        <f t="shared" si="6"/>
        <v>146.19999999999999</v>
      </c>
    </row>
    <row r="12" spans="1:21" x14ac:dyDescent="0.45">
      <c r="A12" s="30" t="s">
        <v>200</v>
      </c>
      <c r="B12" s="49"/>
      <c r="C12" s="49"/>
      <c r="D12" s="41">
        <f>D8/($B$49*(1-D10)+D10)</f>
        <v>205.77914244983</v>
      </c>
      <c r="E12" s="41">
        <f>E8/($B$49*(1-E10)+E10)</f>
        <v>202.33702337023368</v>
      </c>
      <c r="F12" s="41">
        <f>F8/($B$49*(1-F10)+F10)</f>
        <v>218.20454782221634</v>
      </c>
      <c r="G12" s="41">
        <f>G8/($B$49*(1-G10)+G10)</f>
        <v>220.56811617702198</v>
      </c>
      <c r="H12" s="41">
        <f>H8/($B$49*(1-H10)+H10)</f>
        <v>190.8098440918678</v>
      </c>
      <c r="I12" s="41">
        <f>I8/($B$49*(1-I10)+I10)</f>
        <v>191.71281744249859</v>
      </c>
      <c r="J12" s="41">
        <f>J8/($B$49*(1-J10)+J10)</f>
        <v>204.4948954846341</v>
      </c>
      <c r="K12" s="41">
        <f>K8/($B$49*(1-K10)+K10)</f>
        <v>224.01549386701095</v>
      </c>
      <c r="L12" s="41">
        <f>L8/($B$49*(1-L10)+L10)</f>
        <v>231.62413695854266</v>
      </c>
      <c r="M12" s="41">
        <f>M8/($B$49*(1-M10)+M10)</f>
        <v>215.41051461681261</v>
      </c>
      <c r="N12" s="42">
        <f>N8/($B$49*(1-N10)+N10)</f>
        <v>225.47991719075924</v>
      </c>
      <c r="O12" s="41">
        <v>235.37849999999997</v>
      </c>
      <c r="P12" s="41">
        <f>$C$54</f>
        <v>240.98274999999998</v>
      </c>
      <c r="Q12" s="41">
        <f t="shared" ref="Q12:S12" si="7">$C$54</f>
        <v>240.98274999999998</v>
      </c>
      <c r="R12" s="41">
        <f t="shared" si="7"/>
        <v>240.98274999999998</v>
      </c>
      <c r="S12" s="41">
        <f t="shared" si="7"/>
        <v>240.98274999999998</v>
      </c>
    </row>
    <row r="13" spans="1:21" x14ac:dyDescent="0.45">
      <c r="A13" s="30" t="s">
        <v>261</v>
      </c>
      <c r="B13" s="49"/>
      <c r="C13" s="49"/>
      <c r="D13" s="44">
        <f t="shared" ref="D13:N13" si="8">D15/D7</f>
        <v>13.300970873786406</v>
      </c>
      <c r="E13" s="44">
        <f t="shared" si="8"/>
        <v>14.117647058823531</v>
      </c>
      <c r="F13" s="44">
        <f t="shared" si="8"/>
        <v>12.457627118644067</v>
      </c>
      <c r="G13" s="44">
        <f t="shared" si="8"/>
        <v>13.343119266055044</v>
      </c>
      <c r="H13" s="44">
        <f t="shared" si="8"/>
        <v>13.350467289719626</v>
      </c>
      <c r="I13" s="44">
        <f t="shared" si="8"/>
        <v>12.333333333333332</v>
      </c>
      <c r="J13" s="44">
        <f t="shared" si="8"/>
        <v>10.621100917431193</v>
      </c>
      <c r="K13" s="44">
        <f t="shared" si="8"/>
        <v>11.827433628318584</v>
      </c>
      <c r="L13" s="44">
        <f t="shared" si="8"/>
        <v>12.807438016528925</v>
      </c>
      <c r="M13" s="44">
        <f t="shared" si="8"/>
        <v>11.951724137931034</v>
      </c>
      <c r="N13" s="45">
        <f t="shared" si="8"/>
        <v>12.761180636788323</v>
      </c>
      <c r="O13" s="41">
        <v>12.51</v>
      </c>
      <c r="P13" s="41">
        <v>12.51</v>
      </c>
      <c r="Q13" s="41">
        <v>12.51</v>
      </c>
      <c r="R13" s="41">
        <v>12.51</v>
      </c>
      <c r="S13" s="41">
        <v>12.51</v>
      </c>
      <c r="U13" s="8"/>
    </row>
    <row r="14" spans="1:21" x14ac:dyDescent="0.45">
      <c r="A14" t="s">
        <v>72</v>
      </c>
      <c r="B14" s="49"/>
      <c r="C14" s="49"/>
      <c r="D14" s="8">
        <v>1251</v>
      </c>
      <c r="E14" s="8">
        <v>1316</v>
      </c>
      <c r="F14" s="8">
        <v>1536</v>
      </c>
      <c r="G14" s="8">
        <v>1451</v>
      </c>
      <c r="H14" s="8">
        <v>1350</v>
      </c>
      <c r="I14" s="8">
        <v>1537</v>
      </c>
      <c r="J14" s="8">
        <v>1605</v>
      </c>
      <c r="K14" s="8">
        <v>1735</v>
      </c>
      <c r="L14" s="8">
        <v>1774</v>
      </c>
      <c r="M14" s="8">
        <v>1805</v>
      </c>
      <c r="N14" s="42">
        <v>1920.48</v>
      </c>
      <c r="O14" s="46">
        <f>O11*O3+O4*O12</f>
        <v>2059.3337488863672</v>
      </c>
      <c r="P14" s="46">
        <f>P11*P3+P4*P12</f>
        <v>2139.2847289582437</v>
      </c>
      <c r="Q14" s="46">
        <f>Q11*Q3+Q4*Q12</f>
        <v>2211.0019103903524</v>
      </c>
      <c r="R14" s="46">
        <f>R11*R3+R4*R12</f>
        <v>2325.2335606560841</v>
      </c>
      <c r="S14" s="46">
        <f>S11*S3+S4*S12</f>
        <v>2422.4663126315445</v>
      </c>
    </row>
    <row r="15" spans="1:21" x14ac:dyDescent="0.45">
      <c r="A15" t="s">
        <v>201</v>
      </c>
      <c r="B15" s="49"/>
      <c r="C15" s="49"/>
      <c r="D15" s="8">
        <v>137</v>
      </c>
      <c r="E15" s="8">
        <v>144</v>
      </c>
      <c r="F15" s="8">
        <v>147</v>
      </c>
      <c r="G15" s="8">
        <v>145.44</v>
      </c>
      <c r="H15" s="8">
        <v>142.85</v>
      </c>
      <c r="I15" s="8">
        <v>122.1</v>
      </c>
      <c r="J15" s="8">
        <v>115.77</v>
      </c>
      <c r="K15" s="8">
        <v>133.65</v>
      </c>
      <c r="L15" s="8">
        <v>154.97</v>
      </c>
      <c r="M15" s="8">
        <v>138.63999999999999</v>
      </c>
      <c r="N15" s="42">
        <v>160.66326421716499</v>
      </c>
      <c r="O15" s="41">
        <f>O7*O13</f>
        <v>150.89537681909326</v>
      </c>
      <c r="P15" s="41">
        <f t="shared" ref="P15:S15" si="9">P7*P13</f>
        <v>152.71528875717212</v>
      </c>
      <c r="Q15" s="41">
        <f t="shared" si="9"/>
        <v>154.5345751952508</v>
      </c>
      <c r="R15" s="41">
        <f t="shared" si="9"/>
        <v>156.35448713332951</v>
      </c>
      <c r="S15" s="41">
        <f t="shared" si="9"/>
        <v>158.17377357140822</v>
      </c>
    </row>
    <row r="16" spans="1:21" x14ac:dyDescent="0.45">
      <c r="A16" t="s">
        <v>202</v>
      </c>
      <c r="B16" s="49"/>
      <c r="C16" s="49"/>
      <c r="D16" s="8">
        <v>77</v>
      </c>
      <c r="E16" s="8">
        <v>82</v>
      </c>
      <c r="F16" s="8">
        <v>84</v>
      </c>
      <c r="G16" s="8">
        <v>78.12</v>
      </c>
      <c r="H16" s="8">
        <v>77.25</v>
      </c>
      <c r="I16" s="8">
        <v>83.23</v>
      </c>
      <c r="J16" s="8">
        <v>75.510000000000005</v>
      </c>
      <c r="K16" s="8">
        <v>65.38</v>
      </c>
      <c r="L16" s="8">
        <v>76.31</v>
      </c>
      <c r="M16" s="8">
        <v>91.01</v>
      </c>
      <c r="N16" s="42">
        <v>85</v>
      </c>
      <c r="O16" s="41">
        <v>85</v>
      </c>
      <c r="P16" s="41">
        <v>84.394179238322437</v>
      </c>
      <c r="Q16" s="41">
        <v>85.218234468330238</v>
      </c>
      <c r="R16" s="41">
        <v>86.042289698338038</v>
      </c>
      <c r="S16" s="41">
        <v>86.866344928345839</v>
      </c>
      <c r="T16" t="s">
        <v>185</v>
      </c>
    </row>
    <row r="17" spans="1:19" x14ac:dyDescent="0.45">
      <c r="A17" t="s">
        <v>203</v>
      </c>
      <c r="B17" s="8">
        <v>30.085999999999999</v>
      </c>
      <c r="C17" s="8">
        <v>32.667000000000002</v>
      </c>
      <c r="D17" s="8">
        <v>37.715000000000003</v>
      </c>
      <c r="E17" s="8">
        <v>35</v>
      </c>
      <c r="F17" s="8">
        <v>37.25</v>
      </c>
      <c r="G17" s="8">
        <v>41.55</v>
      </c>
      <c r="H17" s="8">
        <v>44.87</v>
      </c>
      <c r="I17" s="8">
        <v>40.81</v>
      </c>
      <c r="J17" s="8">
        <v>39.409999999999997</v>
      </c>
      <c r="K17" s="8">
        <v>43.32</v>
      </c>
      <c r="L17" s="8">
        <v>49.75</v>
      </c>
      <c r="M17" s="8">
        <v>53.76</v>
      </c>
      <c r="N17" s="42">
        <v>64</v>
      </c>
      <c r="O17" s="41">
        <v>57.575001968756908</v>
      </c>
      <c r="P17" s="41">
        <v>59.687724395690218</v>
      </c>
      <c r="Q17" s="41">
        <v>61.800446822623528</v>
      </c>
      <c r="R17" s="41">
        <v>63.913169249556844</v>
      </c>
      <c r="S17" s="41">
        <v>66.025891676490147</v>
      </c>
    </row>
    <row r="18" spans="1:19" x14ac:dyDescent="0.45">
      <c r="A18" t="s">
        <v>64</v>
      </c>
      <c r="B18" s="8">
        <v>1492.2619999999999</v>
      </c>
      <c r="C18" s="8">
        <v>1712.6179999999999</v>
      </c>
      <c r="D18" s="8">
        <v>1562</v>
      </c>
      <c r="E18" s="8">
        <v>1682</v>
      </c>
      <c r="F18" s="8">
        <v>2035</v>
      </c>
      <c r="G18" s="8">
        <v>2089</v>
      </c>
      <c r="H18" s="8">
        <v>1615</v>
      </c>
      <c r="I18" s="8">
        <v>1783</v>
      </c>
      <c r="J18" s="8">
        <v>1975</v>
      </c>
      <c r="K18" s="8">
        <v>2022</v>
      </c>
      <c r="L18" s="8">
        <v>2069</v>
      </c>
      <c r="M18" s="8">
        <v>2152</v>
      </c>
      <c r="N18" s="49"/>
      <c r="O18" s="49"/>
      <c r="P18" s="49"/>
      <c r="Q18" s="49"/>
      <c r="R18" s="49"/>
      <c r="S18" s="49"/>
    </row>
    <row r="19" spans="1:19" x14ac:dyDescent="0.45">
      <c r="A19" t="s">
        <v>204</v>
      </c>
      <c r="B19" s="8">
        <v>266.09699999999998</v>
      </c>
      <c r="C19" s="8">
        <v>364.13600000000002</v>
      </c>
      <c r="D19" s="8">
        <v>59.109000000000002</v>
      </c>
      <c r="E19" s="8">
        <v>104</v>
      </c>
      <c r="F19" s="8">
        <v>230.68</v>
      </c>
      <c r="G19" s="8">
        <v>372.73</v>
      </c>
      <c r="H19" s="8">
        <v>0</v>
      </c>
      <c r="I19" s="8">
        <v>0</v>
      </c>
      <c r="J19" s="8">
        <v>139.15</v>
      </c>
      <c r="K19" s="8">
        <v>44.27</v>
      </c>
      <c r="L19" s="8">
        <v>13.63</v>
      </c>
      <c r="M19" s="8">
        <v>63.3</v>
      </c>
      <c r="N19" s="49"/>
      <c r="O19" s="49"/>
      <c r="P19" s="49"/>
      <c r="Q19" s="49"/>
      <c r="R19" s="49"/>
      <c r="S19" s="49"/>
    </row>
    <row r="20" spans="1:19" x14ac:dyDescent="0.45">
      <c r="A20" s="79" t="s">
        <v>205</v>
      </c>
      <c r="B20" s="80">
        <v>1226.165</v>
      </c>
      <c r="C20" s="80">
        <f>C18-C19</f>
        <v>1348.482</v>
      </c>
      <c r="D20" s="80">
        <f>D18-D19</f>
        <v>1502.8910000000001</v>
      </c>
      <c r="E20" s="80">
        <f>E18-E19</f>
        <v>1578</v>
      </c>
      <c r="F20" s="80">
        <f>F18-F19</f>
        <v>1804.32</v>
      </c>
      <c r="G20" s="80">
        <f t="shared" ref="G20:M20" si="10">G18-G19</f>
        <v>1716.27</v>
      </c>
      <c r="H20" s="80">
        <f t="shared" si="10"/>
        <v>1615</v>
      </c>
      <c r="I20" s="80">
        <f t="shared" si="10"/>
        <v>1783</v>
      </c>
      <c r="J20" s="80">
        <f t="shared" si="10"/>
        <v>1835.85</v>
      </c>
      <c r="K20" s="80">
        <f t="shared" si="10"/>
        <v>1977.73</v>
      </c>
      <c r="L20" s="80">
        <f t="shared" si="10"/>
        <v>2055.37</v>
      </c>
      <c r="M20" s="80">
        <f t="shared" si="10"/>
        <v>2088.6999999999998</v>
      </c>
      <c r="N20" s="81">
        <f>SUM(N14:N17)</f>
        <v>2230.1432642171649</v>
      </c>
      <c r="O20" s="82">
        <f t="shared" ref="O20:S20" si="11">SUM(O14:O17)</f>
        <v>2352.8041276742174</v>
      </c>
      <c r="P20" s="82">
        <f t="shared" si="11"/>
        <v>2436.0819213494283</v>
      </c>
      <c r="Q20" s="82">
        <f t="shared" si="11"/>
        <v>2512.555166876557</v>
      </c>
      <c r="R20" s="82">
        <f t="shared" si="11"/>
        <v>2631.5435067373087</v>
      </c>
      <c r="S20" s="82">
        <f t="shared" si="11"/>
        <v>2733.5323228077887</v>
      </c>
    </row>
    <row r="21" spans="1:19" x14ac:dyDescent="0.45">
      <c r="A21" t="s">
        <v>206</v>
      </c>
      <c r="B21" s="9"/>
      <c r="C21" s="9">
        <f t="shared" ref="C21:M21" si="12">C20/B20-1</f>
        <v>9.9755742497950939E-2</v>
      </c>
      <c r="D21" s="9">
        <f t="shared" si="12"/>
        <v>0.11450579243920211</v>
      </c>
      <c r="E21" s="9">
        <f t="shared" si="12"/>
        <v>4.9976345589932913E-2</v>
      </c>
      <c r="F21" s="9">
        <f t="shared" si="12"/>
        <v>0.14342205323193902</v>
      </c>
      <c r="G21" s="9">
        <f t="shared" si="12"/>
        <v>-4.8799547752061745E-2</v>
      </c>
      <c r="H21" s="9">
        <f t="shared" si="12"/>
        <v>-5.9005867375179877E-2</v>
      </c>
      <c r="I21" s="9">
        <f t="shared" si="12"/>
        <v>0.10402476780185754</v>
      </c>
      <c r="J21" s="9">
        <f t="shared" si="12"/>
        <v>2.9641054402691935E-2</v>
      </c>
      <c r="K21" s="9">
        <f t="shared" si="12"/>
        <v>7.7283002423945479E-2</v>
      </c>
      <c r="L21" s="9">
        <f t="shared" si="12"/>
        <v>3.9257128121634288E-2</v>
      </c>
      <c r="M21" s="9">
        <f t="shared" si="12"/>
        <v>1.6216058422571011E-2</v>
      </c>
      <c r="N21" s="9">
        <f>N20/M20-1</f>
        <v>6.7718324420531939E-2</v>
      </c>
      <c r="O21" s="47">
        <f t="shared" ref="O21:R21" si="13">O20/N20-1</f>
        <v>5.5001337997049982E-2</v>
      </c>
      <c r="P21" s="47">
        <f t="shared" si="13"/>
        <v>3.539512392709554E-2</v>
      </c>
      <c r="Q21" s="47">
        <f t="shared" si="13"/>
        <v>3.1391902241435066E-2</v>
      </c>
      <c r="R21" s="47">
        <f t="shared" si="13"/>
        <v>4.7357503401077583E-2</v>
      </c>
      <c r="S21" s="47">
        <f>S20/R20-1</f>
        <v>3.8756272054544016E-2</v>
      </c>
    </row>
    <row r="23" spans="1:19" x14ac:dyDescent="0.45">
      <c r="A23" s="52" t="s">
        <v>194</v>
      </c>
      <c r="R23" s="105" t="s">
        <v>227</v>
      </c>
      <c r="S23" s="106">
        <f>(S20/N20)^(1/(COUNTA(N2:S2)-1))-1</f>
        <v>4.1545603686825361E-2</v>
      </c>
    </row>
    <row r="24" spans="1:19" x14ac:dyDescent="0.45">
      <c r="A24" s="40" t="s">
        <v>187</v>
      </c>
    </row>
    <row r="25" spans="1:19" x14ac:dyDescent="0.45">
      <c r="A25" s="39" t="s">
        <v>192</v>
      </c>
      <c r="F25" s="9"/>
    </row>
    <row r="26" spans="1:19" x14ac:dyDescent="0.45">
      <c r="A26" s="51" t="s">
        <v>193</v>
      </c>
      <c r="F26" s="9"/>
    </row>
    <row r="27" spans="1:19" x14ac:dyDescent="0.45">
      <c r="F27" s="9"/>
    </row>
    <row r="28" spans="1:19" x14ac:dyDescent="0.45">
      <c r="A28" s="52" t="s">
        <v>195</v>
      </c>
    </row>
    <row r="29" spans="1:19" x14ac:dyDescent="0.45">
      <c r="A29" s="55" t="s">
        <v>229</v>
      </c>
      <c r="B29" s="55" t="s">
        <v>228</v>
      </c>
      <c r="C29" s="59">
        <v>2025</v>
      </c>
      <c r="D29" s="59">
        <v>2026</v>
      </c>
      <c r="E29" s="59">
        <v>2027</v>
      </c>
      <c r="F29" s="59">
        <v>2028</v>
      </c>
      <c r="G29" s="60">
        <v>2029</v>
      </c>
      <c r="J29" s="8"/>
      <c r="K29" s="8"/>
      <c r="L29" s="8"/>
      <c r="M29" s="8"/>
      <c r="N29" s="8"/>
    </row>
    <row r="30" spans="1:19" x14ac:dyDescent="0.45">
      <c r="A30" s="61" t="s">
        <v>244</v>
      </c>
      <c r="B30" s="68">
        <v>0.4</v>
      </c>
      <c r="C30" s="62">
        <v>4.9512999999999998</v>
      </c>
      <c r="D30" s="62">
        <v>4.9747000000000003</v>
      </c>
      <c r="E30" s="62">
        <v>5.2388000000000003</v>
      </c>
      <c r="F30" s="62">
        <v>5.6219999999999999</v>
      </c>
      <c r="G30" s="63">
        <v>5.8816899999999999</v>
      </c>
      <c r="J30" s="8"/>
      <c r="K30" s="8"/>
      <c r="L30" s="8"/>
      <c r="M30" s="8"/>
      <c r="N30" s="8"/>
    </row>
    <row r="31" spans="1:19" x14ac:dyDescent="0.45">
      <c r="A31" s="61" t="s">
        <v>248</v>
      </c>
      <c r="B31" s="68">
        <v>0.4</v>
      </c>
      <c r="C31" s="62">
        <v>4.7537570000000002</v>
      </c>
      <c r="D31" s="62">
        <v>4.9764119999999998</v>
      </c>
      <c r="E31" s="62">
        <v>5.2496859999999996</v>
      </c>
      <c r="F31" s="62">
        <v>5.7362659999999996</v>
      </c>
      <c r="G31" s="63">
        <v>6.2428929999999996</v>
      </c>
    </row>
    <row r="32" spans="1:19" x14ac:dyDescent="0.45">
      <c r="A32" s="61" t="s">
        <v>188</v>
      </c>
      <c r="B32" s="68">
        <v>0.2</v>
      </c>
      <c r="C32" s="62">
        <v>4.9670876957660566</v>
      </c>
      <c r="D32" s="62">
        <v>4.9705360755622658</v>
      </c>
      <c r="E32" s="62">
        <v>5.2338335895225958</v>
      </c>
      <c r="F32" s="62">
        <v>5.7147891730962712</v>
      </c>
      <c r="G32" s="63">
        <v>6.0499712731950712</v>
      </c>
    </row>
    <row r="33" spans="1:7" x14ac:dyDescent="0.45">
      <c r="A33" s="55" t="s">
        <v>196</v>
      </c>
      <c r="B33" s="53"/>
      <c r="C33" s="56">
        <f>C30*$B$30+C31*$B$31+C32*$B$32</f>
        <v>4.8754403391532115</v>
      </c>
      <c r="D33" s="56">
        <f t="shared" ref="D33:G33" si="14">D30*$B$30+D31*$B$31+D32*$B$32</f>
        <v>4.9745520151124536</v>
      </c>
      <c r="E33" s="56">
        <f t="shared" si="14"/>
        <v>5.2421611179045193</v>
      </c>
      <c r="F33" s="56">
        <f t="shared" si="14"/>
        <v>5.6862642346192551</v>
      </c>
      <c r="G33" s="56">
        <f t="shared" si="14"/>
        <v>6.0598274546390147</v>
      </c>
    </row>
    <row r="34" spans="1:7" x14ac:dyDescent="0.45">
      <c r="C34" s="8"/>
      <c r="D34" s="8"/>
      <c r="E34" s="8"/>
      <c r="F34" s="8"/>
      <c r="G34" s="8"/>
    </row>
    <row r="35" spans="1:7" x14ac:dyDescent="0.45">
      <c r="A35" s="58" t="s">
        <v>230</v>
      </c>
      <c r="B35" s="55" t="s">
        <v>228</v>
      </c>
      <c r="C35" s="64">
        <v>2025</v>
      </c>
      <c r="D35" s="64">
        <v>2026</v>
      </c>
      <c r="E35" s="64">
        <v>2027</v>
      </c>
      <c r="F35" s="64">
        <v>2028</v>
      </c>
      <c r="G35" s="65">
        <v>2029</v>
      </c>
    </row>
    <row r="36" spans="1:7" x14ac:dyDescent="0.45">
      <c r="A36" s="103" t="s">
        <v>243</v>
      </c>
      <c r="B36" s="68">
        <v>0.3</v>
      </c>
      <c r="C36" s="62">
        <v>5.9611000000000001</v>
      </c>
      <c r="D36" s="62">
        <v>5.9570999999999996</v>
      </c>
      <c r="E36" s="62">
        <v>5.9574999999999996</v>
      </c>
      <c r="F36" s="62">
        <v>5.9574999999999996</v>
      </c>
      <c r="G36" s="63">
        <v>5.9574999999999996</v>
      </c>
    </row>
    <row r="37" spans="1:7" x14ac:dyDescent="0.45">
      <c r="A37" s="69" t="s">
        <v>188</v>
      </c>
      <c r="B37" s="68">
        <v>0.7</v>
      </c>
      <c r="C37" s="62">
        <v>6.5664905063724799</v>
      </c>
      <c r="D37" s="62">
        <v>6.6369464367637621</v>
      </c>
      <c r="E37" s="62">
        <v>6.7074023671550451</v>
      </c>
      <c r="F37" s="62">
        <v>6.7778582975463273</v>
      </c>
      <c r="G37" s="63">
        <v>6.8483142279376095</v>
      </c>
    </row>
    <row r="38" spans="1:7" x14ac:dyDescent="0.45">
      <c r="A38" s="58" t="s">
        <v>196</v>
      </c>
      <c r="B38" s="53"/>
      <c r="C38" s="56">
        <f>C36*$B$36+C37*$B$37</f>
        <v>6.3848733544607361</v>
      </c>
      <c r="D38" s="56">
        <f t="shared" ref="D38:G38" si="15">D36*$B$36+D37*$B$37</f>
        <v>6.4329925057346333</v>
      </c>
      <c r="E38" s="56">
        <f>E36*$B$36+E37*$B$37</f>
        <v>6.4824316570085312</v>
      </c>
      <c r="F38" s="56">
        <f t="shared" si="15"/>
        <v>6.5317508082824283</v>
      </c>
      <c r="G38" s="57">
        <f t="shared" si="15"/>
        <v>6.5810699595563253</v>
      </c>
    </row>
    <row r="40" spans="1:7" x14ac:dyDescent="0.45">
      <c r="A40" s="58" t="s">
        <v>231</v>
      </c>
      <c r="B40" s="55" t="s">
        <v>228</v>
      </c>
      <c r="C40" s="64">
        <v>2025</v>
      </c>
      <c r="D40" s="64">
        <v>2026</v>
      </c>
      <c r="E40" s="64">
        <v>2027</v>
      </c>
      <c r="F40" s="64">
        <v>2028</v>
      </c>
      <c r="G40" s="65">
        <v>2029</v>
      </c>
    </row>
    <row r="41" spans="1:7" x14ac:dyDescent="0.45">
      <c r="A41" s="69" t="s">
        <v>242</v>
      </c>
      <c r="B41" s="68">
        <v>0.5</v>
      </c>
      <c r="C41" s="62">
        <v>12.035299999999999</v>
      </c>
      <c r="D41" s="62">
        <v>12.1812</v>
      </c>
      <c r="E41" s="62">
        <v>12.327</v>
      </c>
      <c r="F41" s="62">
        <v>12.472899999999999</v>
      </c>
      <c r="G41" s="63">
        <v>12.6187</v>
      </c>
    </row>
    <row r="42" spans="1:7" x14ac:dyDescent="0.45">
      <c r="A42" s="54" t="s">
        <v>188</v>
      </c>
      <c r="B42" s="71">
        <v>0.5</v>
      </c>
      <c r="C42" s="66">
        <v>12.0886611221572</v>
      </c>
      <c r="D42" s="66">
        <v>12.233714269731751</v>
      </c>
      <c r="E42" s="66">
        <v>12.378767417306284</v>
      </c>
      <c r="F42" s="66">
        <v>12.523820564880818</v>
      </c>
      <c r="G42" s="67">
        <v>12.668873712455351</v>
      </c>
    </row>
    <row r="43" spans="1:7" x14ac:dyDescent="0.45">
      <c r="A43" s="58" t="s">
        <v>196</v>
      </c>
      <c r="B43" s="53"/>
      <c r="C43" s="56">
        <f>$B$41*C41+C42*$B$42</f>
        <v>12.061980561078599</v>
      </c>
      <c r="D43" s="56">
        <f t="shared" ref="D43:G43" si="16">$B$41*D41+D42*$B$42</f>
        <v>12.207457134865876</v>
      </c>
      <c r="E43" s="56">
        <f t="shared" si="16"/>
        <v>12.352883708653142</v>
      </c>
      <c r="F43" s="56">
        <f t="shared" si="16"/>
        <v>12.498360282440409</v>
      </c>
      <c r="G43" s="57">
        <f t="shared" si="16"/>
        <v>12.643786856227676</v>
      </c>
    </row>
    <row r="45" spans="1:7" x14ac:dyDescent="0.45">
      <c r="A45" s="52" t="s">
        <v>232</v>
      </c>
    </row>
    <row r="46" spans="1:7" x14ac:dyDescent="0.45">
      <c r="A46" s="55"/>
      <c r="B46" s="72" t="s">
        <v>189</v>
      </c>
    </row>
    <row r="47" spans="1:7" x14ac:dyDescent="0.45">
      <c r="A47" s="69" t="s">
        <v>152</v>
      </c>
      <c r="B47" s="70">
        <v>182</v>
      </c>
    </row>
    <row r="48" spans="1:7" x14ac:dyDescent="0.45">
      <c r="A48" s="54" t="s">
        <v>153</v>
      </c>
      <c r="B48" s="73">
        <v>300</v>
      </c>
    </row>
    <row r="49" spans="1:6" x14ac:dyDescent="0.45">
      <c r="A49" s="55" t="s">
        <v>197</v>
      </c>
      <c r="B49" s="57">
        <f>B47/B48</f>
        <v>0.60666666666666669</v>
      </c>
    </row>
    <row r="51" spans="1:6" x14ac:dyDescent="0.45">
      <c r="A51" s="52" t="s">
        <v>236</v>
      </c>
    </row>
    <row r="52" spans="1:6" x14ac:dyDescent="0.45">
      <c r="A52" s="55"/>
      <c r="B52" s="59" t="s">
        <v>233</v>
      </c>
      <c r="C52" s="59" t="s">
        <v>234</v>
      </c>
      <c r="D52" s="59" t="s">
        <v>190</v>
      </c>
      <c r="E52" s="59" t="s">
        <v>191</v>
      </c>
      <c r="F52" s="55" t="s">
        <v>235</v>
      </c>
    </row>
    <row r="53" spans="1:6" x14ac:dyDescent="0.45">
      <c r="A53" s="70" t="s">
        <v>152</v>
      </c>
      <c r="B53" s="74">
        <v>136</v>
      </c>
      <c r="C53" s="74">
        <f>B53*(1+increment)</f>
        <v>146.19999999999999</v>
      </c>
      <c r="D53" s="74">
        <f>2/3</f>
        <v>0.66666666666666663</v>
      </c>
      <c r="E53" s="74">
        <f>1/3</f>
        <v>0.33333333333333331</v>
      </c>
      <c r="F53" s="101">
        <f>C53*D53+B53*E53</f>
        <v>142.79999999999998</v>
      </c>
    </row>
    <row r="54" spans="1:6" x14ac:dyDescent="0.45">
      <c r="A54" s="73" t="s">
        <v>153</v>
      </c>
      <c r="B54" s="66">
        <v>224.17</v>
      </c>
      <c r="C54" s="66">
        <f>B54*(1+increment)</f>
        <v>240.98274999999998</v>
      </c>
      <c r="D54" s="66">
        <f>2/3</f>
        <v>0.66666666666666663</v>
      </c>
      <c r="E54" s="66">
        <f>1/3</f>
        <v>0.33333333333333331</v>
      </c>
      <c r="F54" s="102">
        <f t="shared" ref="F54" si="17">C54*D54+B54*E54</f>
        <v>235.37849999999997</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869C4-7D75-4B34-A1FF-48F15383CF86}">
  <sheetPr>
    <tabColor theme="9" tint="0.79998168889431442"/>
  </sheetPr>
  <dimension ref="A1:U58"/>
  <sheetViews>
    <sheetView zoomScale="81" workbookViewId="0"/>
  </sheetViews>
  <sheetFormatPr defaultRowHeight="14.25" x14ac:dyDescent="0.45"/>
  <cols>
    <col min="1" max="1" width="62.73046875" customWidth="1"/>
    <col min="2" max="2" width="17.1328125" customWidth="1"/>
    <col min="3" max="3" width="13.265625" customWidth="1"/>
    <col min="4" max="4" width="10.86328125" bestFit="1" customWidth="1"/>
    <col min="5" max="5" width="11.9296875" bestFit="1" customWidth="1"/>
    <col min="6" max="6" width="15.3984375" customWidth="1"/>
    <col min="7" max="7" width="7.53125" bestFit="1" customWidth="1"/>
    <col min="8" max="8" width="10.1328125" customWidth="1"/>
    <col min="9" max="9" width="17.265625" bestFit="1" customWidth="1"/>
    <col min="10" max="10" width="8.265625" bestFit="1" customWidth="1"/>
    <col min="11" max="19" width="10.1328125" customWidth="1"/>
    <col min="20" max="20" width="35.9296875" customWidth="1"/>
    <col min="21" max="21" width="17.59765625" bestFit="1" customWidth="1"/>
    <col min="24" max="24" width="11.73046875" bestFit="1" customWidth="1"/>
    <col min="25" max="25" width="14.53125" bestFit="1" customWidth="1"/>
  </cols>
  <sheetData>
    <row r="1" spans="1:21" x14ac:dyDescent="0.45">
      <c r="A1" s="88" t="s">
        <v>81</v>
      </c>
      <c r="B1">
        <v>2012</v>
      </c>
      <c r="C1">
        <v>2013</v>
      </c>
      <c r="D1">
        <v>2014</v>
      </c>
      <c r="E1">
        <v>2015</v>
      </c>
      <c r="F1">
        <v>2016</v>
      </c>
      <c r="G1">
        <v>2017</v>
      </c>
      <c r="H1">
        <v>2018</v>
      </c>
      <c r="I1">
        <v>2019</v>
      </c>
      <c r="J1">
        <v>2020</v>
      </c>
      <c r="K1">
        <v>2021</v>
      </c>
      <c r="L1">
        <v>2022</v>
      </c>
      <c r="M1">
        <v>2023</v>
      </c>
      <c r="N1">
        <v>2024</v>
      </c>
      <c r="O1">
        <v>2025</v>
      </c>
      <c r="P1">
        <v>2026</v>
      </c>
      <c r="Q1">
        <v>2027</v>
      </c>
      <c r="R1">
        <v>2028</v>
      </c>
      <c r="S1">
        <v>2029</v>
      </c>
    </row>
    <row r="2" spans="1:21" s="7" customFormat="1" x14ac:dyDescent="0.45">
      <c r="A2" s="88" t="s">
        <v>81</v>
      </c>
      <c r="B2" s="7" t="s">
        <v>209</v>
      </c>
      <c r="C2" s="7" t="s">
        <v>210</v>
      </c>
      <c r="D2" s="7" t="s">
        <v>211</v>
      </c>
      <c r="E2" s="7" t="s">
        <v>212</v>
      </c>
      <c r="F2" s="7" t="s">
        <v>213</v>
      </c>
      <c r="G2" s="7" t="s">
        <v>214</v>
      </c>
      <c r="H2" s="7" t="s">
        <v>215</v>
      </c>
      <c r="I2" s="7" t="s">
        <v>216</v>
      </c>
      <c r="J2" s="7" t="s">
        <v>217</v>
      </c>
      <c r="K2" s="7" t="s">
        <v>218</v>
      </c>
      <c r="L2" s="7" t="s">
        <v>219</v>
      </c>
      <c r="M2" s="7" t="s">
        <v>220</v>
      </c>
      <c r="N2" s="86" t="s">
        <v>221</v>
      </c>
      <c r="O2" s="87" t="s">
        <v>222</v>
      </c>
      <c r="P2" s="87" t="s">
        <v>223</v>
      </c>
      <c r="Q2" s="87" t="s">
        <v>224</v>
      </c>
      <c r="R2" s="87" t="s">
        <v>225</v>
      </c>
      <c r="S2" s="87" t="s">
        <v>226</v>
      </c>
    </row>
    <row r="3" spans="1:21" x14ac:dyDescent="0.45">
      <c r="A3" t="s">
        <v>3</v>
      </c>
      <c r="B3" s="8">
        <v>4.9000000000000004</v>
      </c>
      <c r="C3" s="8">
        <v>5.3</v>
      </c>
      <c r="D3" s="8">
        <v>5.9</v>
      </c>
      <c r="E3" s="8">
        <v>6.6</v>
      </c>
      <c r="F3" s="8">
        <v>7.39</v>
      </c>
      <c r="G3" s="8">
        <v>6.22</v>
      </c>
      <c r="H3" s="8">
        <v>6.226</v>
      </c>
      <c r="I3" s="8">
        <v>7.23</v>
      </c>
      <c r="J3" s="8">
        <v>6.7510000000000003</v>
      </c>
      <c r="K3" s="8">
        <v>6.75</v>
      </c>
      <c r="L3" s="8">
        <v>6.0839999999999996</v>
      </c>
      <c r="M3" s="8">
        <v>6.3479999999999999</v>
      </c>
      <c r="N3" s="42">
        <v>5.92</v>
      </c>
      <c r="O3" s="41">
        <f>C40</f>
        <v>5.4744963794669408</v>
      </c>
      <c r="P3" s="41">
        <f t="shared" ref="P3:S3" si="0">D40</f>
        <v>5.4131649737030063</v>
      </c>
      <c r="Q3" s="41">
        <f t="shared" si="0"/>
        <v>5.3709479380516818</v>
      </c>
      <c r="R3" s="41">
        <f t="shared" si="0"/>
        <v>5.3397753329279878</v>
      </c>
      <c r="S3" s="41">
        <f t="shared" si="0"/>
        <v>5.3159243620637451</v>
      </c>
    </row>
    <row r="4" spans="1:21" x14ac:dyDescent="0.45">
      <c r="A4" t="s">
        <v>4</v>
      </c>
      <c r="B4" s="8">
        <v>2</v>
      </c>
      <c r="C4" s="8">
        <v>2.2000000000000002</v>
      </c>
      <c r="D4" s="8">
        <v>2.5</v>
      </c>
      <c r="E4" s="8">
        <v>2.5</v>
      </c>
      <c r="F4" s="8">
        <v>2.556</v>
      </c>
      <c r="G4" s="8">
        <v>2.8050000000000002</v>
      </c>
      <c r="H4" s="8">
        <v>3.298</v>
      </c>
      <c r="I4" s="8">
        <v>3.6309999999999998</v>
      </c>
      <c r="J4" s="8">
        <v>3.7530000000000001</v>
      </c>
      <c r="K4" s="8">
        <v>3.65</v>
      </c>
      <c r="L4" s="8">
        <v>3.968</v>
      </c>
      <c r="M4" s="8">
        <v>4.5289999999999999</v>
      </c>
      <c r="N4" s="42">
        <v>4.91</v>
      </c>
      <c r="O4" s="41">
        <f>C34</f>
        <v>4.8293977155042214</v>
      </c>
      <c r="P4" s="41">
        <f>D34</f>
        <v>4.6879057668003066</v>
      </c>
      <c r="Q4" s="41">
        <f>E34</f>
        <v>4.912418756713496</v>
      </c>
      <c r="R4" s="41">
        <f>F34</f>
        <v>5.3402220881338849</v>
      </c>
      <c r="S4" s="41">
        <f>G34</f>
        <v>5.6942105081684762</v>
      </c>
    </row>
    <row r="5" spans="1:21" x14ac:dyDescent="0.45">
      <c r="A5" t="s">
        <v>5</v>
      </c>
      <c r="B5" s="8">
        <f>B4+B3</f>
        <v>6.9</v>
      </c>
      <c r="C5" s="8">
        <f>C3+C4</f>
        <v>7.5</v>
      </c>
      <c r="D5" s="8">
        <v>8.4</v>
      </c>
      <c r="E5" s="8">
        <v>9.1</v>
      </c>
      <c r="F5" s="8">
        <v>9.9459999999999997</v>
      </c>
      <c r="G5" s="8">
        <v>9.0250000000000004</v>
      </c>
      <c r="H5" s="8">
        <v>9.5239999999999991</v>
      </c>
      <c r="I5" s="8">
        <v>10.861000000000001</v>
      </c>
      <c r="J5" s="8">
        <v>10.504</v>
      </c>
      <c r="K5" s="8">
        <v>10.4</v>
      </c>
      <c r="L5" s="8">
        <v>10.052</v>
      </c>
      <c r="M5" s="8">
        <v>10.875999999999999</v>
      </c>
      <c r="N5" s="42">
        <f t="shared" ref="N5:S5" si="1">N3+N4</f>
        <v>10.83</v>
      </c>
      <c r="O5" s="41">
        <f t="shared" si="1"/>
        <v>10.303894094971163</v>
      </c>
      <c r="P5" s="41">
        <f t="shared" si="1"/>
        <v>10.101070740503314</v>
      </c>
      <c r="Q5" s="41">
        <f t="shared" si="1"/>
        <v>10.283366694765178</v>
      </c>
      <c r="R5" s="41">
        <f t="shared" si="1"/>
        <v>10.679997421061874</v>
      </c>
      <c r="S5" s="41">
        <f t="shared" si="1"/>
        <v>11.010134870232221</v>
      </c>
    </row>
    <row r="6" spans="1:21" x14ac:dyDescent="0.45">
      <c r="A6" t="s">
        <v>2</v>
      </c>
      <c r="B6" s="8">
        <v>9.5</v>
      </c>
      <c r="C6" s="8">
        <v>11</v>
      </c>
      <c r="D6" s="8">
        <v>11</v>
      </c>
      <c r="E6" s="8">
        <v>11</v>
      </c>
      <c r="F6" s="8">
        <v>12</v>
      </c>
      <c r="G6" s="8">
        <v>13</v>
      </c>
      <c r="H6" s="8">
        <v>14</v>
      </c>
      <c r="I6" s="8">
        <v>13.9</v>
      </c>
      <c r="J6" s="8">
        <v>13.6</v>
      </c>
      <c r="K6" s="8">
        <v>13.6</v>
      </c>
      <c r="L6" s="8">
        <v>13.7</v>
      </c>
      <c r="M6" s="8">
        <v>13.7</v>
      </c>
      <c r="N6" s="42">
        <v>13.7</v>
      </c>
      <c r="O6" s="41">
        <v>13.7</v>
      </c>
      <c r="P6" s="41">
        <v>13.7</v>
      </c>
      <c r="Q6" s="41">
        <v>13.7</v>
      </c>
      <c r="R6" s="41">
        <v>15.2</v>
      </c>
      <c r="S6" s="41">
        <v>16.7</v>
      </c>
    </row>
    <row r="7" spans="1:21" x14ac:dyDescent="0.45">
      <c r="A7" t="s">
        <v>260</v>
      </c>
      <c r="B7" s="43">
        <v>10.199999999999999</v>
      </c>
      <c r="C7" s="8">
        <v>10.7</v>
      </c>
      <c r="D7" s="8">
        <v>10.3</v>
      </c>
      <c r="E7" s="8">
        <v>10.199999999999999</v>
      </c>
      <c r="F7" s="48">
        <v>11.8</v>
      </c>
      <c r="G7" s="8">
        <v>10.9</v>
      </c>
      <c r="H7" s="8">
        <v>10.7</v>
      </c>
      <c r="I7" s="8">
        <v>9.9</v>
      </c>
      <c r="J7" s="8">
        <v>10.9</v>
      </c>
      <c r="K7" s="8">
        <v>11.3</v>
      </c>
      <c r="L7" s="8">
        <v>12.1</v>
      </c>
      <c r="M7" s="8">
        <v>11.6</v>
      </c>
      <c r="N7" s="42">
        <v>12.59</v>
      </c>
      <c r="O7" s="41">
        <f>C46</f>
        <v>11.270030476004887</v>
      </c>
      <c r="P7" s="41">
        <f t="shared" ref="P7:S7" si="2">D46</f>
        <v>11.415470410085462</v>
      </c>
      <c r="Q7" s="41">
        <f t="shared" si="2"/>
        <v>11.560904068856825</v>
      </c>
      <c r="R7" s="41">
        <f t="shared" si="2"/>
        <v>11.706341087978426</v>
      </c>
      <c r="S7" s="41">
        <f t="shared" si="2"/>
        <v>11.851771103147151</v>
      </c>
    </row>
    <row r="8" spans="1:21" x14ac:dyDescent="0.45">
      <c r="A8" t="s">
        <v>207</v>
      </c>
      <c r="B8" s="49"/>
      <c r="C8" s="49"/>
      <c r="D8" s="8">
        <v>148.92857142857142</v>
      </c>
      <c r="E8" s="8">
        <v>144.61538461538461</v>
      </c>
      <c r="F8" s="8">
        <v>154.43394329378646</v>
      </c>
      <c r="G8" s="8">
        <v>160.77562326869804</v>
      </c>
      <c r="H8" s="8">
        <v>141.747165056699</v>
      </c>
      <c r="I8" s="8">
        <v>141.51551422520944</v>
      </c>
      <c r="J8" s="8">
        <v>152.798933739528</v>
      </c>
      <c r="K8" s="8">
        <v>166.82692307692307</v>
      </c>
      <c r="L8" s="8">
        <v>176.48229208117789</v>
      </c>
      <c r="M8" s="8">
        <v>165.96175064361898</v>
      </c>
      <c r="N8" s="42">
        <v>177</v>
      </c>
      <c r="O8" s="41">
        <f>(1-O10)*O11+O10*O12</f>
        <v>186.19120649764972</v>
      </c>
      <c r="P8" s="41">
        <f t="shared" ref="P8:S8" si="3">(1-P10)*P11+P10*P12</f>
        <v>190.18866335392596</v>
      </c>
      <c r="Q8" s="41">
        <f t="shared" si="3"/>
        <v>191.47822188329718</v>
      </c>
      <c r="R8" s="41">
        <f t="shared" si="3"/>
        <v>193.59335742964495</v>
      </c>
      <c r="S8" s="41">
        <f t="shared" si="3"/>
        <v>195.21964757055895</v>
      </c>
    </row>
    <row r="9" spans="1:21" x14ac:dyDescent="0.45">
      <c r="A9" t="s">
        <v>0</v>
      </c>
      <c r="B9" s="9">
        <f>B5/B6</f>
        <v>0.72631578947368425</v>
      </c>
      <c r="C9" s="9">
        <f>C5/C6</f>
        <v>0.68181818181818177</v>
      </c>
      <c r="D9" s="9">
        <v>0.76</v>
      </c>
      <c r="E9" s="9">
        <v>0.83</v>
      </c>
      <c r="F9" s="9">
        <v>0.82883333333333331</v>
      </c>
      <c r="G9" s="9">
        <v>0.69423076923076921</v>
      </c>
      <c r="H9" s="9">
        <v>0.68</v>
      </c>
      <c r="I9" s="9">
        <v>0.78</v>
      </c>
      <c r="J9" s="9">
        <v>0.77</v>
      </c>
      <c r="K9" s="9">
        <v>0.77</v>
      </c>
      <c r="L9" s="9">
        <v>0.74</v>
      </c>
      <c r="M9" s="9">
        <v>0.79</v>
      </c>
      <c r="N9" s="50">
        <f>N5/N6</f>
        <v>0.79051094890510953</v>
      </c>
      <c r="O9" s="47">
        <f t="shared" ref="O9:S9" si="4">O5/O6</f>
        <v>0.75210905802709227</v>
      </c>
      <c r="P9" s="47">
        <f t="shared" si="4"/>
        <v>0.73730443361338061</v>
      </c>
      <c r="Q9" s="47">
        <f t="shared" si="4"/>
        <v>0.75061070764709337</v>
      </c>
      <c r="R9" s="47">
        <f t="shared" si="4"/>
        <v>0.70263140928038648</v>
      </c>
      <c r="S9" s="47">
        <f t="shared" si="4"/>
        <v>0.65928951318755824</v>
      </c>
    </row>
    <row r="10" spans="1:21" x14ac:dyDescent="0.45">
      <c r="A10" t="s">
        <v>186</v>
      </c>
      <c r="B10" s="9">
        <f>B4/(B4+B3)</f>
        <v>0.28985507246376813</v>
      </c>
      <c r="C10" s="9">
        <f>C4/(C4+C3)</f>
        <v>0.29333333333333333</v>
      </c>
      <c r="D10" s="9">
        <f>D4/(D4+D3)</f>
        <v>0.29761904761904762</v>
      </c>
      <c r="E10" s="9">
        <f t="shared" ref="E10:S10" si="5">E4/(E4+E3)</f>
        <v>0.27472527472527475</v>
      </c>
      <c r="F10" s="9">
        <f t="shared" si="5"/>
        <v>0.25698773376231654</v>
      </c>
      <c r="G10" s="9">
        <f t="shared" si="5"/>
        <v>0.310803324099723</v>
      </c>
      <c r="H10" s="9">
        <f t="shared" si="5"/>
        <v>0.34628307433851319</v>
      </c>
      <c r="I10" s="9">
        <f t="shared" si="5"/>
        <v>0.33431544056716689</v>
      </c>
      <c r="J10" s="9">
        <f t="shared" si="5"/>
        <v>0.35729246001523224</v>
      </c>
      <c r="K10" s="9">
        <f t="shared" si="5"/>
        <v>0.35096153846153844</v>
      </c>
      <c r="L10" s="9">
        <f t="shared" si="5"/>
        <v>0.39474731396736967</v>
      </c>
      <c r="M10" s="9">
        <f t="shared" si="5"/>
        <v>0.41638319389537559</v>
      </c>
      <c r="N10" s="50">
        <f t="shared" si="5"/>
        <v>0.45337026777469991</v>
      </c>
      <c r="O10" s="47">
        <f t="shared" si="5"/>
        <v>0.46869636576148616</v>
      </c>
      <c r="P10" s="47">
        <f t="shared" si="5"/>
        <v>0.46409988477783087</v>
      </c>
      <c r="Q10" s="47">
        <f t="shared" si="5"/>
        <v>0.47770529852000693</v>
      </c>
      <c r="R10" s="47">
        <f t="shared" si="5"/>
        <v>0.50002091551094452</v>
      </c>
      <c r="S10" s="47">
        <f t="shared" si="5"/>
        <v>0.51717899692253055</v>
      </c>
    </row>
    <row r="11" spans="1:21" x14ac:dyDescent="0.45">
      <c r="A11" s="30" t="s">
        <v>199</v>
      </c>
      <c r="B11" s="49"/>
      <c r="C11" s="49"/>
      <c r="D11" s="41">
        <f>$B$52*D12</f>
        <v>124.83934641956354</v>
      </c>
      <c r="E11" s="41">
        <f>$B$52*E12</f>
        <v>122.7511275112751</v>
      </c>
      <c r="F11" s="41">
        <f>$B$52*F12</f>
        <v>132.37742567881125</v>
      </c>
      <c r="G11" s="41">
        <f>$B$52*G12</f>
        <v>133.81132381406002</v>
      </c>
      <c r="H11" s="41">
        <f>$B$52*H12</f>
        <v>115.7579720823998</v>
      </c>
      <c r="I11" s="41">
        <f>$B$52*I12</f>
        <v>116.30577591511582</v>
      </c>
      <c r="J11" s="41">
        <f>$B$52*J12</f>
        <v>124.06023659401136</v>
      </c>
      <c r="K11" s="41">
        <f>$B$52*K12</f>
        <v>135.90273294598666</v>
      </c>
      <c r="L11" s="41">
        <f>$B$52*L12</f>
        <v>140.51864308818256</v>
      </c>
      <c r="M11" s="41">
        <f>$B$52*M12</f>
        <v>130.68237886753298</v>
      </c>
      <c r="N11" s="42">
        <f>$B$52*N12</f>
        <v>136.79114976239393</v>
      </c>
      <c r="O11" s="41">
        <v>142.79999999999998</v>
      </c>
      <c r="P11" s="41">
        <f>$C$56</f>
        <v>146.19999999999999</v>
      </c>
      <c r="Q11" s="41">
        <f t="shared" ref="Q11:S11" si="6">$C$56</f>
        <v>146.19999999999999</v>
      </c>
      <c r="R11" s="41">
        <f t="shared" si="6"/>
        <v>146.19999999999999</v>
      </c>
      <c r="S11" s="41">
        <f t="shared" si="6"/>
        <v>146.19999999999999</v>
      </c>
    </row>
    <row r="12" spans="1:21" x14ac:dyDescent="0.45">
      <c r="A12" s="30" t="s">
        <v>200</v>
      </c>
      <c r="B12" s="49"/>
      <c r="C12" s="49"/>
      <c r="D12" s="41">
        <f>D8/($B$52*(1-D10)+D10)</f>
        <v>205.77914244983</v>
      </c>
      <c r="E12" s="41">
        <f>E8/($B$52*(1-E10)+E10)</f>
        <v>202.33702337023368</v>
      </c>
      <c r="F12" s="41">
        <f>F8/($B$52*(1-F10)+F10)</f>
        <v>218.20454782221634</v>
      </c>
      <c r="G12" s="41">
        <f>G8/($B$52*(1-G10)+G10)</f>
        <v>220.56811617702198</v>
      </c>
      <c r="H12" s="41">
        <f>H8/($B$52*(1-H10)+H10)</f>
        <v>190.8098440918678</v>
      </c>
      <c r="I12" s="41">
        <f>I8/($B$52*(1-I10)+I10)</f>
        <v>191.71281744249859</v>
      </c>
      <c r="J12" s="41">
        <f>J8/($B$52*(1-J10)+J10)</f>
        <v>204.4948954846341</v>
      </c>
      <c r="K12" s="41">
        <f>K8/($B$52*(1-K10)+K10)</f>
        <v>224.01549386701095</v>
      </c>
      <c r="L12" s="41">
        <f>L8/($B$52*(1-L10)+L10)</f>
        <v>231.62413695854266</v>
      </c>
      <c r="M12" s="41">
        <f>M8/($B$52*(1-M10)+M10)</f>
        <v>215.41051461681261</v>
      </c>
      <c r="N12" s="42">
        <f>N8/($B$52*(1-N10)+N10)</f>
        <v>225.47991719075924</v>
      </c>
      <c r="O12" s="41">
        <v>235.37849999999997</v>
      </c>
      <c r="P12" s="41">
        <f>$C$57</f>
        <v>240.98274999999998</v>
      </c>
      <c r="Q12" s="41">
        <f t="shared" ref="Q12:S12" si="7">$C$57</f>
        <v>240.98274999999998</v>
      </c>
      <c r="R12" s="41">
        <f t="shared" si="7"/>
        <v>240.98274999999998</v>
      </c>
      <c r="S12" s="41">
        <f t="shared" si="7"/>
        <v>240.98274999999998</v>
      </c>
    </row>
    <row r="13" spans="1:21" x14ac:dyDescent="0.45">
      <c r="A13" s="30" t="s">
        <v>261</v>
      </c>
      <c r="B13" s="49"/>
      <c r="C13" s="49"/>
      <c r="D13" s="44">
        <f t="shared" ref="D13:N13" si="8">D15/D7</f>
        <v>13.300970873786406</v>
      </c>
      <c r="E13" s="44">
        <f t="shared" si="8"/>
        <v>14.117647058823531</v>
      </c>
      <c r="F13" s="44">
        <f t="shared" si="8"/>
        <v>12.457627118644067</v>
      </c>
      <c r="G13" s="44">
        <f t="shared" si="8"/>
        <v>13.343119266055044</v>
      </c>
      <c r="H13" s="44">
        <f t="shared" si="8"/>
        <v>13.350467289719626</v>
      </c>
      <c r="I13" s="44">
        <f t="shared" si="8"/>
        <v>12.333333333333332</v>
      </c>
      <c r="J13" s="44">
        <f t="shared" si="8"/>
        <v>10.621100917431193</v>
      </c>
      <c r="K13" s="44">
        <f t="shared" si="8"/>
        <v>11.827433628318584</v>
      </c>
      <c r="L13" s="44">
        <f t="shared" si="8"/>
        <v>12.807438016528925</v>
      </c>
      <c r="M13" s="44">
        <f t="shared" si="8"/>
        <v>11.951724137931034</v>
      </c>
      <c r="N13" s="45">
        <f t="shared" si="8"/>
        <v>12.761180636788323</v>
      </c>
      <c r="O13" s="41">
        <v>12.51</v>
      </c>
      <c r="P13" s="41">
        <v>12.51</v>
      </c>
      <c r="Q13" s="41">
        <v>12.51</v>
      </c>
      <c r="R13" s="41">
        <v>12.51</v>
      </c>
      <c r="S13" s="41">
        <v>12.51</v>
      </c>
      <c r="U13" s="8"/>
    </row>
    <row r="14" spans="1:21" x14ac:dyDescent="0.45">
      <c r="A14" t="s">
        <v>72</v>
      </c>
      <c r="B14" s="49"/>
      <c r="C14" s="49"/>
      <c r="D14" s="8">
        <v>1251</v>
      </c>
      <c r="E14" s="8">
        <v>1316</v>
      </c>
      <c r="F14" s="8">
        <v>1536</v>
      </c>
      <c r="G14" s="8">
        <v>1451</v>
      </c>
      <c r="H14" s="8">
        <v>1350</v>
      </c>
      <c r="I14" s="8">
        <v>1537</v>
      </c>
      <c r="J14" s="8">
        <v>1605</v>
      </c>
      <c r="K14" s="8">
        <v>1735</v>
      </c>
      <c r="L14" s="8">
        <v>1774</v>
      </c>
      <c r="M14" s="8">
        <v>1805</v>
      </c>
      <c r="N14" s="42">
        <v>1920.48</v>
      </c>
      <c r="O14" s="46">
        <f>O11*O3+O4*O12</f>
        <v>1918.4944731666894</v>
      </c>
      <c r="P14" s="46">
        <f>P11*P3+P4*P12</f>
        <v>1921.1091425797758</v>
      </c>
      <c r="Q14" s="46">
        <f>Q11*Q3+Q4*Q12</f>
        <v>1969.040769687555</v>
      </c>
      <c r="R14" s="46">
        <f>R11*R3+R4*R12</f>
        <v>2067.5765580833177</v>
      </c>
      <c r="S14" s="46">
        <f>S11*S3+S4*S12</f>
        <v>2149.3946490710559</v>
      </c>
    </row>
    <row r="15" spans="1:21" x14ac:dyDescent="0.45">
      <c r="A15" t="s">
        <v>201</v>
      </c>
      <c r="B15" s="49"/>
      <c r="C15" s="49"/>
      <c r="D15" s="8">
        <v>137</v>
      </c>
      <c r="E15" s="8">
        <v>144</v>
      </c>
      <c r="F15" s="8">
        <v>147</v>
      </c>
      <c r="G15" s="8">
        <v>145.44</v>
      </c>
      <c r="H15" s="8">
        <v>142.85</v>
      </c>
      <c r="I15" s="8">
        <v>122.1</v>
      </c>
      <c r="J15" s="8">
        <v>115.77</v>
      </c>
      <c r="K15" s="8">
        <v>133.65</v>
      </c>
      <c r="L15" s="8">
        <v>154.97</v>
      </c>
      <c r="M15" s="8">
        <v>138.63999999999999</v>
      </c>
      <c r="N15" s="42">
        <v>160.66326421716499</v>
      </c>
      <c r="O15" s="41">
        <f>O7*O13</f>
        <v>140.98808125482114</v>
      </c>
      <c r="P15" s="41">
        <f t="shared" ref="P15:S15" si="9">P7*P13</f>
        <v>142.80753483016912</v>
      </c>
      <c r="Q15" s="41">
        <f t="shared" si="9"/>
        <v>144.62690990139888</v>
      </c>
      <c r="R15" s="41">
        <f t="shared" si="9"/>
        <v>146.4463270106101</v>
      </c>
      <c r="S15" s="41">
        <f t="shared" si="9"/>
        <v>148.26565650037085</v>
      </c>
    </row>
    <row r="16" spans="1:21" x14ac:dyDescent="0.45">
      <c r="A16" t="s">
        <v>202</v>
      </c>
      <c r="B16" s="49"/>
      <c r="C16" s="49"/>
      <c r="D16" s="8">
        <v>77</v>
      </c>
      <c r="E16" s="8">
        <v>82</v>
      </c>
      <c r="F16" s="8">
        <v>84</v>
      </c>
      <c r="G16" s="8">
        <v>78.12</v>
      </c>
      <c r="H16" s="8">
        <v>77.25</v>
      </c>
      <c r="I16" s="8">
        <v>83.23</v>
      </c>
      <c r="J16" s="8">
        <v>75.510000000000005</v>
      </c>
      <c r="K16" s="8">
        <v>65.38</v>
      </c>
      <c r="L16" s="8">
        <v>76.31</v>
      </c>
      <c r="M16" s="8">
        <v>91.01</v>
      </c>
      <c r="N16" s="42">
        <v>85</v>
      </c>
      <c r="O16" s="41">
        <v>85</v>
      </c>
      <c r="P16" s="41">
        <v>84.394179238322437</v>
      </c>
      <c r="Q16" s="41">
        <v>85.218234468330238</v>
      </c>
      <c r="R16" s="41">
        <v>86.042289698338038</v>
      </c>
      <c r="S16" s="41">
        <v>86.866344928345839</v>
      </c>
      <c r="T16" t="s">
        <v>185</v>
      </c>
    </row>
    <row r="17" spans="1:19" x14ac:dyDescent="0.45">
      <c r="A17" t="s">
        <v>203</v>
      </c>
      <c r="B17" s="8">
        <v>30.085999999999999</v>
      </c>
      <c r="C17" s="8">
        <v>32.667000000000002</v>
      </c>
      <c r="D17" s="8">
        <v>37.715000000000003</v>
      </c>
      <c r="E17" s="8">
        <v>35</v>
      </c>
      <c r="F17" s="8">
        <v>37.25</v>
      </c>
      <c r="G17" s="8">
        <v>41.55</v>
      </c>
      <c r="H17" s="8">
        <v>44.87</v>
      </c>
      <c r="I17" s="8">
        <v>40.81</v>
      </c>
      <c r="J17" s="8">
        <v>39.409999999999997</v>
      </c>
      <c r="K17" s="8">
        <v>43.32</v>
      </c>
      <c r="L17" s="8">
        <v>49.75</v>
      </c>
      <c r="M17" s="8">
        <v>53.76</v>
      </c>
      <c r="N17" s="42">
        <v>64</v>
      </c>
      <c r="O17" s="41">
        <v>57.575001968756908</v>
      </c>
      <c r="P17" s="41">
        <v>59.687724395690218</v>
      </c>
      <c r="Q17" s="41">
        <v>61.800446822623528</v>
      </c>
      <c r="R17" s="41">
        <v>63.913169249556844</v>
      </c>
      <c r="S17" s="41">
        <v>66.025891676490147</v>
      </c>
    </row>
    <row r="18" spans="1:19" x14ac:dyDescent="0.45">
      <c r="A18" t="s">
        <v>64</v>
      </c>
      <c r="B18" s="8">
        <v>1492.2619999999999</v>
      </c>
      <c r="C18" s="8">
        <v>1712.6179999999999</v>
      </c>
      <c r="D18" s="8">
        <v>1562</v>
      </c>
      <c r="E18" s="8">
        <v>1682</v>
      </c>
      <c r="F18" s="8">
        <v>2035</v>
      </c>
      <c r="G18" s="8">
        <v>2089</v>
      </c>
      <c r="H18" s="8">
        <v>1615</v>
      </c>
      <c r="I18" s="8">
        <v>1783</v>
      </c>
      <c r="J18" s="8">
        <v>1975</v>
      </c>
      <c r="K18" s="8">
        <v>2022</v>
      </c>
      <c r="L18" s="8">
        <v>2069</v>
      </c>
      <c r="M18" s="8">
        <v>2152</v>
      </c>
      <c r="N18" s="49"/>
      <c r="O18" s="49"/>
      <c r="P18" s="49"/>
      <c r="Q18" s="49"/>
      <c r="R18" s="49"/>
      <c r="S18" s="49"/>
    </row>
    <row r="19" spans="1:19" x14ac:dyDescent="0.45">
      <c r="A19" t="s">
        <v>204</v>
      </c>
      <c r="B19" s="8">
        <v>266.09699999999998</v>
      </c>
      <c r="C19" s="8">
        <v>364.13600000000002</v>
      </c>
      <c r="D19" s="8">
        <v>59.109000000000002</v>
      </c>
      <c r="E19" s="8">
        <v>104</v>
      </c>
      <c r="F19" s="8">
        <v>230.68</v>
      </c>
      <c r="G19" s="8">
        <v>372.73</v>
      </c>
      <c r="H19" s="8">
        <v>0</v>
      </c>
      <c r="I19" s="8">
        <v>0</v>
      </c>
      <c r="J19" s="8">
        <v>139.15</v>
      </c>
      <c r="K19" s="8">
        <v>44.27</v>
      </c>
      <c r="L19" s="8">
        <v>13.63</v>
      </c>
      <c r="M19" s="8">
        <v>63.3</v>
      </c>
      <c r="N19" s="49"/>
      <c r="O19" s="49"/>
      <c r="P19" s="49"/>
      <c r="Q19" s="49"/>
      <c r="R19" s="49"/>
      <c r="S19" s="49"/>
    </row>
    <row r="20" spans="1:19" x14ac:dyDescent="0.45">
      <c r="A20" s="79" t="s">
        <v>205</v>
      </c>
      <c r="B20" s="80">
        <v>1226.165</v>
      </c>
      <c r="C20" s="80">
        <f>C18-C19</f>
        <v>1348.482</v>
      </c>
      <c r="D20" s="80">
        <f>D18-D19</f>
        <v>1502.8910000000001</v>
      </c>
      <c r="E20" s="80">
        <f>E18-E19</f>
        <v>1578</v>
      </c>
      <c r="F20" s="80">
        <f>F18-F19</f>
        <v>1804.32</v>
      </c>
      <c r="G20" s="80">
        <f t="shared" ref="G20:M20" si="10">G18-G19</f>
        <v>1716.27</v>
      </c>
      <c r="H20" s="80">
        <f t="shared" si="10"/>
        <v>1615</v>
      </c>
      <c r="I20" s="80">
        <f t="shared" si="10"/>
        <v>1783</v>
      </c>
      <c r="J20" s="80">
        <f t="shared" si="10"/>
        <v>1835.85</v>
      </c>
      <c r="K20" s="80">
        <f t="shared" si="10"/>
        <v>1977.73</v>
      </c>
      <c r="L20" s="80">
        <f t="shared" si="10"/>
        <v>2055.37</v>
      </c>
      <c r="M20" s="80">
        <f t="shared" si="10"/>
        <v>2088.6999999999998</v>
      </c>
      <c r="N20" s="81">
        <f>SUM(N14:N17)</f>
        <v>2230.1432642171649</v>
      </c>
      <c r="O20" s="82">
        <f t="shared" ref="O20:S20" si="11">SUM(O14:O17)</f>
        <v>2202.0575563902676</v>
      </c>
      <c r="P20" s="82">
        <f t="shared" si="11"/>
        <v>2207.9985810439575</v>
      </c>
      <c r="Q20" s="82">
        <f t="shared" si="11"/>
        <v>2260.6863608799076</v>
      </c>
      <c r="R20" s="82">
        <f t="shared" si="11"/>
        <v>2363.9783440418228</v>
      </c>
      <c r="S20" s="82">
        <f t="shared" si="11"/>
        <v>2450.5525421762627</v>
      </c>
    </row>
    <row r="21" spans="1:19" x14ac:dyDescent="0.45">
      <c r="A21" t="s">
        <v>206</v>
      </c>
      <c r="B21" s="9"/>
      <c r="C21" s="9">
        <f t="shared" ref="C21:M21" si="12">C20/B20-1</f>
        <v>9.9755742497950939E-2</v>
      </c>
      <c r="D21" s="9">
        <f t="shared" si="12"/>
        <v>0.11450579243920211</v>
      </c>
      <c r="E21" s="9">
        <f t="shared" si="12"/>
        <v>4.9976345589932913E-2</v>
      </c>
      <c r="F21" s="9">
        <f t="shared" si="12"/>
        <v>0.14342205323193902</v>
      </c>
      <c r="G21" s="9">
        <f t="shared" si="12"/>
        <v>-4.8799547752061745E-2</v>
      </c>
      <c r="H21" s="9">
        <f t="shared" si="12"/>
        <v>-5.9005867375179877E-2</v>
      </c>
      <c r="I21" s="9">
        <f t="shared" si="12"/>
        <v>0.10402476780185754</v>
      </c>
      <c r="J21" s="9">
        <f t="shared" si="12"/>
        <v>2.9641054402691935E-2</v>
      </c>
      <c r="K21" s="9">
        <f t="shared" si="12"/>
        <v>7.7283002423945479E-2</v>
      </c>
      <c r="L21" s="9">
        <f t="shared" si="12"/>
        <v>3.9257128121634288E-2</v>
      </c>
      <c r="M21" s="9">
        <f t="shared" si="12"/>
        <v>1.6216058422571011E-2</v>
      </c>
      <c r="N21" s="9">
        <f>N20/M20-1</f>
        <v>6.7718324420531939E-2</v>
      </c>
      <c r="O21" s="47">
        <f t="shared" ref="O21:R21" si="13">O20/N20-1</f>
        <v>-1.2593678745906112E-2</v>
      </c>
      <c r="P21" s="47">
        <f t="shared" si="13"/>
        <v>2.6979424931239393E-3</v>
      </c>
      <c r="Q21" s="47">
        <f t="shared" si="13"/>
        <v>2.3862234463501775E-2</v>
      </c>
      <c r="R21" s="47">
        <f t="shared" si="13"/>
        <v>4.5690541133583729E-2</v>
      </c>
      <c r="S21" s="47">
        <f>S20/R20-1</f>
        <v>3.6622246710779738E-2</v>
      </c>
    </row>
    <row r="23" spans="1:19" x14ac:dyDescent="0.45">
      <c r="A23" s="52" t="s">
        <v>194</v>
      </c>
      <c r="R23" s="105" t="s">
        <v>227</v>
      </c>
      <c r="S23" s="106">
        <f>(S20/N20)^(1/(COUNTA(N2:S2)-1))-1</f>
        <v>1.902831389796189E-2</v>
      </c>
    </row>
    <row r="24" spans="1:19" x14ac:dyDescent="0.45">
      <c r="A24" s="40" t="s">
        <v>187</v>
      </c>
    </row>
    <row r="25" spans="1:19" x14ac:dyDescent="0.45">
      <c r="A25" s="39" t="s">
        <v>192</v>
      </c>
      <c r="F25" s="9"/>
    </row>
    <row r="26" spans="1:19" x14ac:dyDescent="0.45">
      <c r="A26" s="51" t="s">
        <v>193</v>
      </c>
      <c r="F26" s="9"/>
    </row>
    <row r="27" spans="1:19" x14ac:dyDescent="0.45">
      <c r="J27" s="8"/>
      <c r="K27" s="8"/>
      <c r="L27" s="8"/>
      <c r="M27" s="8"/>
      <c r="N27" s="8"/>
    </row>
    <row r="28" spans="1:19" x14ac:dyDescent="0.45">
      <c r="A28" s="52" t="s">
        <v>195</v>
      </c>
      <c r="J28" s="8"/>
      <c r="K28" s="8"/>
      <c r="L28" s="8"/>
      <c r="M28" s="8"/>
      <c r="N28" s="8"/>
    </row>
    <row r="29" spans="1:19" x14ac:dyDescent="0.45">
      <c r="A29" s="55" t="s">
        <v>229</v>
      </c>
      <c r="B29" s="98" t="s">
        <v>247</v>
      </c>
      <c r="C29" s="99"/>
      <c r="D29" s="99"/>
      <c r="E29" s="99"/>
      <c r="F29" s="99"/>
      <c r="G29" s="100"/>
    </row>
    <row r="30" spans="1:19" x14ac:dyDescent="0.45">
      <c r="A30" s="55" t="s">
        <v>246</v>
      </c>
      <c r="B30" s="55" t="s">
        <v>228</v>
      </c>
      <c r="C30" s="59">
        <v>2025</v>
      </c>
      <c r="D30" s="59">
        <v>2026</v>
      </c>
      <c r="E30" s="59">
        <v>2027</v>
      </c>
      <c r="F30" s="59">
        <v>2028</v>
      </c>
      <c r="G30" s="60">
        <v>2029</v>
      </c>
      <c r="N30" s="8"/>
    </row>
    <row r="31" spans="1:19" x14ac:dyDescent="0.45">
      <c r="A31" s="61" t="s">
        <v>244</v>
      </c>
      <c r="B31" s="68">
        <v>0.4</v>
      </c>
      <c r="C31" s="62">
        <v>4.7698859999999996</v>
      </c>
      <c r="D31" s="62">
        <v>4.6564870000000003</v>
      </c>
      <c r="E31" s="62">
        <v>4.8808119999999997</v>
      </c>
      <c r="F31" s="62">
        <v>5.2586810000000002</v>
      </c>
      <c r="G31" s="63">
        <v>5.5076080000000003</v>
      </c>
      <c r="N31" s="8"/>
    </row>
    <row r="32" spans="1:19" x14ac:dyDescent="0.45">
      <c r="A32" s="61" t="s">
        <v>248</v>
      </c>
      <c r="B32" s="68">
        <v>0.4</v>
      </c>
      <c r="C32" s="62">
        <v>4.885313</v>
      </c>
      <c r="D32" s="62">
        <v>4.6658359999999997</v>
      </c>
      <c r="E32" s="62">
        <v>4.8890409999999997</v>
      </c>
      <c r="F32" s="62">
        <v>5.3555120000000001</v>
      </c>
      <c r="G32" s="63">
        <v>5.8375729999999999</v>
      </c>
    </row>
    <row r="33" spans="1:14" x14ac:dyDescent="0.45">
      <c r="A33" s="61" t="s">
        <v>188</v>
      </c>
      <c r="B33" s="68">
        <v>0.2</v>
      </c>
      <c r="C33" s="62">
        <v>4.8365905775211058</v>
      </c>
      <c r="D33" s="62">
        <v>4.7948828340015339</v>
      </c>
      <c r="E33" s="62">
        <v>5.0223877835674795</v>
      </c>
      <c r="F33" s="62">
        <v>5.4727244406694249</v>
      </c>
      <c r="G33" s="63">
        <v>5.7806905408423761</v>
      </c>
    </row>
    <row r="34" spans="1:14" x14ac:dyDescent="0.45">
      <c r="A34" s="55" t="s">
        <v>196</v>
      </c>
      <c r="B34" s="53"/>
      <c r="C34" s="56">
        <f>C31*$B$31+C32*$B$32+C33*$B$33</f>
        <v>4.8293977155042214</v>
      </c>
      <c r="D34" s="56">
        <f t="shared" ref="D34:G34" si="14">D31*$B$31+D32*$B$32+D33*$B$33</f>
        <v>4.6879057668003066</v>
      </c>
      <c r="E34" s="56">
        <f t="shared" si="14"/>
        <v>4.912418756713496</v>
      </c>
      <c r="F34" s="56">
        <f t="shared" si="14"/>
        <v>5.3402220881338849</v>
      </c>
      <c r="G34" s="56">
        <f t="shared" si="14"/>
        <v>5.6942105081684762</v>
      </c>
      <c r="J34" s="89"/>
      <c r="K34" s="89"/>
      <c r="L34" s="89"/>
      <c r="M34" s="89"/>
      <c r="N34" s="89"/>
    </row>
    <row r="35" spans="1:14" x14ac:dyDescent="0.45">
      <c r="C35" s="8"/>
      <c r="D35" s="8"/>
      <c r="E35" s="8"/>
      <c r="F35" s="8"/>
      <c r="G35" s="8"/>
    </row>
    <row r="36" spans="1:14" x14ac:dyDescent="0.45">
      <c r="A36" s="58" t="s">
        <v>230</v>
      </c>
      <c r="B36" s="98" t="s">
        <v>247</v>
      </c>
      <c r="C36" s="99"/>
      <c r="D36" s="99"/>
      <c r="E36" s="99"/>
      <c r="F36" s="99"/>
      <c r="G36" s="100"/>
    </row>
    <row r="37" spans="1:14" x14ac:dyDescent="0.45">
      <c r="A37" s="59" t="s">
        <v>246</v>
      </c>
      <c r="B37" s="55" t="s">
        <v>228</v>
      </c>
      <c r="C37" s="64">
        <v>2025</v>
      </c>
      <c r="D37" s="64">
        <v>2026</v>
      </c>
      <c r="E37" s="64">
        <v>2027</v>
      </c>
      <c r="F37" s="64">
        <v>2028</v>
      </c>
      <c r="G37" s="65">
        <v>2029</v>
      </c>
      <c r="J37" s="89"/>
    </row>
    <row r="38" spans="1:14" x14ac:dyDescent="0.45">
      <c r="A38" s="103" t="s">
        <v>243</v>
      </c>
      <c r="B38" s="68">
        <v>0.3</v>
      </c>
      <c r="C38" s="62">
        <v>5.1069259999999996</v>
      </c>
      <c r="D38" s="62">
        <v>4.8057259999999999</v>
      </c>
      <c r="E38" s="62">
        <v>4.5667809999999998</v>
      </c>
      <c r="F38" s="62">
        <v>4.3633150000000001</v>
      </c>
      <c r="G38" s="63">
        <v>4.1830270000000001</v>
      </c>
      <c r="J38" s="89"/>
    </row>
    <row r="39" spans="1:14" x14ac:dyDescent="0.45">
      <c r="A39" s="69" t="s">
        <v>188</v>
      </c>
      <c r="B39" s="68">
        <v>0.7</v>
      </c>
      <c r="C39" s="62">
        <v>5.6320265420956304</v>
      </c>
      <c r="D39" s="62">
        <v>5.6734959624328667</v>
      </c>
      <c r="E39" s="62">
        <v>5.7155909115024031</v>
      </c>
      <c r="F39" s="62">
        <v>5.7582583327542691</v>
      </c>
      <c r="G39" s="63">
        <v>5.8014518029482085</v>
      </c>
      <c r="J39" s="89"/>
    </row>
    <row r="40" spans="1:14" x14ac:dyDescent="0.45">
      <c r="A40" s="58" t="s">
        <v>196</v>
      </c>
      <c r="B40" s="53"/>
      <c r="C40" s="56">
        <f>C38*$B$38+C39*$B$39</f>
        <v>5.4744963794669408</v>
      </c>
      <c r="D40" s="56">
        <f t="shared" ref="D40:G40" si="15">D38*$B$38+D39*$B$39</f>
        <v>5.4131649737030063</v>
      </c>
      <c r="E40" s="56">
        <f t="shared" si="15"/>
        <v>5.3709479380516818</v>
      </c>
      <c r="F40" s="56">
        <f t="shared" si="15"/>
        <v>5.3397753329279878</v>
      </c>
      <c r="G40" s="57">
        <f t="shared" si="15"/>
        <v>5.3159243620637451</v>
      </c>
      <c r="J40" s="89"/>
    </row>
    <row r="41" spans="1:14" x14ac:dyDescent="0.45">
      <c r="J41" s="89"/>
    </row>
    <row r="42" spans="1:14" x14ac:dyDescent="0.45">
      <c r="A42" s="58" t="s">
        <v>231</v>
      </c>
      <c r="B42" s="98" t="s">
        <v>247</v>
      </c>
      <c r="C42" s="99"/>
      <c r="D42" s="99"/>
      <c r="E42" s="99"/>
      <c r="F42" s="99"/>
      <c r="G42" s="100"/>
    </row>
    <row r="43" spans="1:14" x14ac:dyDescent="0.45">
      <c r="A43" s="58" t="s">
        <v>246</v>
      </c>
      <c r="B43" s="55" t="s">
        <v>228</v>
      </c>
      <c r="C43" s="64">
        <v>2025</v>
      </c>
      <c r="D43" s="64">
        <v>2026</v>
      </c>
      <c r="E43" s="64">
        <v>2027</v>
      </c>
      <c r="F43" s="64">
        <v>2028</v>
      </c>
      <c r="G43" s="65">
        <v>2029</v>
      </c>
    </row>
    <row r="44" spans="1:14" x14ac:dyDescent="0.45">
      <c r="A44" s="69" t="s">
        <v>242</v>
      </c>
      <c r="B44" s="68">
        <v>0.5</v>
      </c>
      <c r="C44" s="62">
        <v>11.180160000000001</v>
      </c>
      <c r="D44" s="62">
        <v>11.325989999999999</v>
      </c>
      <c r="E44" s="62">
        <v>11.47181</v>
      </c>
      <c r="F44" s="62">
        <v>11.61764</v>
      </c>
      <c r="G44" s="63">
        <v>11.76346</v>
      </c>
    </row>
    <row r="45" spans="1:14" x14ac:dyDescent="0.45">
      <c r="A45" s="54" t="s">
        <v>188</v>
      </c>
      <c r="B45" s="71">
        <v>0.5</v>
      </c>
      <c r="C45" s="66">
        <v>11.359900952009774</v>
      </c>
      <c r="D45" s="66">
        <v>11.504950820170922</v>
      </c>
      <c r="E45" s="66">
        <v>11.649998137713649</v>
      </c>
      <c r="F45" s="66">
        <v>11.795042175956855</v>
      </c>
      <c r="G45" s="67">
        <v>11.940082206294303</v>
      </c>
    </row>
    <row r="46" spans="1:14" x14ac:dyDescent="0.45">
      <c r="A46" s="58" t="s">
        <v>196</v>
      </c>
      <c r="B46" s="53"/>
      <c r="C46" s="56">
        <f>$B$44*C44+C45*$B$45</f>
        <v>11.270030476004887</v>
      </c>
      <c r="D46" s="56">
        <f t="shared" ref="D46:G46" si="16">$B$44*D44+D45*$B$45</f>
        <v>11.415470410085462</v>
      </c>
      <c r="E46" s="56">
        <f t="shared" si="16"/>
        <v>11.560904068856825</v>
      </c>
      <c r="F46" s="56">
        <f t="shared" si="16"/>
        <v>11.706341087978426</v>
      </c>
      <c r="G46" s="57">
        <f t="shared" si="16"/>
        <v>11.851771103147151</v>
      </c>
    </row>
    <row r="48" spans="1:14" x14ac:dyDescent="0.45">
      <c r="A48" s="52" t="s">
        <v>232</v>
      </c>
    </row>
    <row r="49" spans="1:13" x14ac:dyDescent="0.45">
      <c r="A49" s="55"/>
      <c r="B49" s="72" t="s">
        <v>189</v>
      </c>
    </row>
    <row r="50" spans="1:13" x14ac:dyDescent="0.45">
      <c r="A50" s="69" t="s">
        <v>152</v>
      </c>
      <c r="B50" s="70">
        <v>182</v>
      </c>
    </row>
    <row r="51" spans="1:13" x14ac:dyDescent="0.45">
      <c r="A51" s="54" t="s">
        <v>153</v>
      </c>
      <c r="B51" s="73">
        <v>300</v>
      </c>
      <c r="J51" s="89"/>
    </row>
    <row r="52" spans="1:13" x14ac:dyDescent="0.45">
      <c r="A52" s="55" t="s">
        <v>197</v>
      </c>
      <c r="B52" s="57">
        <f>B50/B51</f>
        <v>0.60666666666666669</v>
      </c>
      <c r="J52" s="89"/>
    </row>
    <row r="53" spans="1:13" x14ac:dyDescent="0.45">
      <c r="J53" s="89"/>
    </row>
    <row r="54" spans="1:13" x14ac:dyDescent="0.45">
      <c r="A54" s="52" t="s">
        <v>236</v>
      </c>
      <c r="J54" s="89"/>
    </row>
    <row r="55" spans="1:13" x14ac:dyDescent="0.45">
      <c r="A55" s="55"/>
      <c r="B55" s="59" t="s">
        <v>233</v>
      </c>
      <c r="C55" s="59" t="s">
        <v>234</v>
      </c>
      <c r="D55" s="59" t="s">
        <v>190</v>
      </c>
      <c r="E55" s="59" t="s">
        <v>191</v>
      </c>
      <c r="F55" s="55" t="s">
        <v>235</v>
      </c>
      <c r="J55" s="89"/>
    </row>
    <row r="56" spans="1:13" x14ac:dyDescent="0.45">
      <c r="A56" s="70" t="s">
        <v>152</v>
      </c>
      <c r="B56" s="74">
        <v>136</v>
      </c>
      <c r="C56" s="74">
        <f>B56*(1+increment)</f>
        <v>146.19999999999999</v>
      </c>
      <c r="D56" s="74">
        <f>2/3</f>
        <v>0.66666666666666663</v>
      </c>
      <c r="E56" s="74">
        <f>1/3</f>
        <v>0.33333333333333331</v>
      </c>
      <c r="F56" s="101">
        <f>C56*D56+B56*E56</f>
        <v>142.79999999999998</v>
      </c>
      <c r="J56" s="89"/>
    </row>
    <row r="57" spans="1:13" x14ac:dyDescent="0.45">
      <c r="A57" s="73" t="s">
        <v>153</v>
      </c>
      <c r="B57" s="66">
        <v>224.17</v>
      </c>
      <c r="C57" s="66">
        <f>B57*(1+increment)</f>
        <v>240.98274999999998</v>
      </c>
      <c r="D57" s="66">
        <f>2/3</f>
        <v>0.66666666666666663</v>
      </c>
      <c r="E57" s="66">
        <f>1/3</f>
        <v>0.33333333333333331</v>
      </c>
      <c r="F57" s="102">
        <f t="shared" ref="F57" si="17">C57*D57+B57*E57</f>
        <v>235.37849999999997</v>
      </c>
    </row>
    <row r="58" spans="1:13" x14ac:dyDescent="0.45">
      <c r="I58" s="89"/>
      <c r="J58" s="89"/>
      <c r="K58" s="89"/>
      <c r="L58" s="89"/>
      <c r="M58" s="89"/>
    </row>
  </sheetData>
  <mergeCells count="3">
    <mergeCell ref="B29:G29"/>
    <mergeCell ref="B42:G42"/>
    <mergeCell ref="B36:G3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BE19B9-9079-4BE7-BF46-26DABCF74C26}">
  <sheetPr>
    <tabColor theme="9" tint="0.79998168889431442"/>
  </sheetPr>
  <dimension ref="A1:U58"/>
  <sheetViews>
    <sheetView zoomScale="81" workbookViewId="0"/>
  </sheetViews>
  <sheetFormatPr defaultRowHeight="14.25" x14ac:dyDescent="0.45"/>
  <cols>
    <col min="1" max="1" width="62.73046875" customWidth="1"/>
    <col min="2" max="2" width="17.1328125" bestFit="1" customWidth="1"/>
    <col min="3" max="3" width="13.265625" bestFit="1" customWidth="1"/>
    <col min="4" max="4" width="10.86328125" bestFit="1" customWidth="1"/>
    <col min="5" max="5" width="11.9296875" bestFit="1" customWidth="1"/>
    <col min="6" max="6" width="15.3984375" bestFit="1" customWidth="1"/>
    <col min="7" max="7" width="7.53125" bestFit="1" customWidth="1"/>
    <col min="8" max="8" width="10.1328125" customWidth="1"/>
    <col min="9" max="9" width="17.265625" bestFit="1" customWidth="1"/>
    <col min="10" max="10" width="9.265625" bestFit="1" customWidth="1"/>
    <col min="11" max="19" width="10.1328125" customWidth="1"/>
    <col min="20" max="20" width="35.9296875" customWidth="1"/>
    <col min="21" max="21" width="17.59765625" bestFit="1" customWidth="1"/>
    <col min="24" max="24" width="11.73046875" bestFit="1" customWidth="1"/>
    <col min="25" max="25" width="14.53125" bestFit="1" customWidth="1"/>
  </cols>
  <sheetData>
    <row r="1" spans="1:21" x14ac:dyDescent="0.45">
      <c r="A1" s="88" t="s">
        <v>81</v>
      </c>
      <c r="B1">
        <v>2012</v>
      </c>
      <c r="C1">
        <v>2013</v>
      </c>
      <c r="D1">
        <v>2014</v>
      </c>
      <c r="E1">
        <v>2015</v>
      </c>
      <c r="F1">
        <v>2016</v>
      </c>
      <c r="G1">
        <v>2017</v>
      </c>
      <c r="H1">
        <v>2018</v>
      </c>
      <c r="I1">
        <v>2019</v>
      </c>
      <c r="J1">
        <v>2020</v>
      </c>
      <c r="K1">
        <v>2021</v>
      </c>
      <c r="L1">
        <v>2022</v>
      </c>
      <c r="M1">
        <v>2023</v>
      </c>
      <c r="N1">
        <v>2024</v>
      </c>
      <c r="O1">
        <v>2025</v>
      </c>
      <c r="P1">
        <v>2026</v>
      </c>
      <c r="Q1">
        <v>2027</v>
      </c>
      <c r="R1">
        <v>2028</v>
      </c>
      <c r="S1">
        <v>2029</v>
      </c>
    </row>
    <row r="2" spans="1:21" s="7" customFormat="1" x14ac:dyDescent="0.45">
      <c r="A2" s="88" t="s">
        <v>81</v>
      </c>
      <c r="B2" s="7" t="s">
        <v>209</v>
      </c>
      <c r="C2" s="7" t="s">
        <v>210</v>
      </c>
      <c r="D2" s="7" t="s">
        <v>211</v>
      </c>
      <c r="E2" s="7" t="s">
        <v>212</v>
      </c>
      <c r="F2" s="7" t="s">
        <v>213</v>
      </c>
      <c r="G2" s="7" t="s">
        <v>214</v>
      </c>
      <c r="H2" s="7" t="s">
        <v>215</v>
      </c>
      <c r="I2" s="7" t="s">
        <v>216</v>
      </c>
      <c r="J2" s="7" t="s">
        <v>217</v>
      </c>
      <c r="K2" s="7" t="s">
        <v>218</v>
      </c>
      <c r="L2" s="7" t="s">
        <v>219</v>
      </c>
      <c r="M2" s="7" t="s">
        <v>220</v>
      </c>
      <c r="N2" s="86" t="s">
        <v>221</v>
      </c>
      <c r="O2" s="87" t="s">
        <v>222</v>
      </c>
      <c r="P2" s="87" t="s">
        <v>223</v>
      </c>
      <c r="Q2" s="87" t="s">
        <v>224</v>
      </c>
      <c r="R2" s="87" t="s">
        <v>225</v>
      </c>
      <c r="S2" s="87" t="s">
        <v>226</v>
      </c>
    </row>
    <row r="3" spans="1:21" x14ac:dyDescent="0.45">
      <c r="A3" t="s">
        <v>3</v>
      </c>
      <c r="B3" s="8">
        <v>4.9000000000000004</v>
      </c>
      <c r="C3" s="8">
        <v>5.3</v>
      </c>
      <c r="D3" s="8">
        <v>5.9</v>
      </c>
      <c r="E3" s="8">
        <v>6.6</v>
      </c>
      <c r="F3" s="8">
        <v>7.39</v>
      </c>
      <c r="G3" s="8">
        <v>6.22</v>
      </c>
      <c r="H3" s="8">
        <v>6.226</v>
      </c>
      <c r="I3" s="8">
        <v>7.23</v>
      </c>
      <c r="J3" s="8">
        <v>6.7510000000000003</v>
      </c>
      <c r="K3" s="8">
        <v>6.75</v>
      </c>
      <c r="L3" s="8">
        <v>6.0839999999999996</v>
      </c>
      <c r="M3" s="8">
        <v>6.3479999999999999</v>
      </c>
      <c r="N3" s="42">
        <v>5.92</v>
      </c>
      <c r="O3" s="41">
        <f>C40</f>
        <v>7.2952650294545327</v>
      </c>
      <c r="P3" s="41">
        <f t="shared" ref="P3:S3" si="0">D40</f>
        <v>7.4528638377662597</v>
      </c>
      <c r="Q3" s="41">
        <f t="shared" si="0"/>
        <v>7.593946875965381</v>
      </c>
      <c r="R3" s="41">
        <f t="shared" si="0"/>
        <v>7.7237358836368699</v>
      </c>
      <c r="S3" s="41">
        <f t="shared" si="0"/>
        <v>7.8462272570489064</v>
      </c>
    </row>
    <row r="4" spans="1:21" x14ac:dyDescent="0.45">
      <c r="A4" t="s">
        <v>4</v>
      </c>
      <c r="B4" s="8">
        <v>2</v>
      </c>
      <c r="C4" s="8">
        <v>2.2000000000000002</v>
      </c>
      <c r="D4" s="8">
        <v>2.5</v>
      </c>
      <c r="E4" s="8">
        <v>2.5</v>
      </c>
      <c r="F4" s="8">
        <v>2.556</v>
      </c>
      <c r="G4" s="8">
        <v>2.8050000000000002</v>
      </c>
      <c r="H4" s="8">
        <v>3.298</v>
      </c>
      <c r="I4" s="8">
        <v>3.6309999999999998</v>
      </c>
      <c r="J4" s="8">
        <v>3.7530000000000001</v>
      </c>
      <c r="K4" s="8">
        <v>3.65</v>
      </c>
      <c r="L4" s="8">
        <v>3.968</v>
      </c>
      <c r="M4" s="8">
        <v>4.5289999999999999</v>
      </c>
      <c r="N4" s="42">
        <v>4.91</v>
      </c>
      <c r="O4" s="41">
        <f>C34</f>
        <v>5.0815549628022021</v>
      </c>
      <c r="P4" s="41">
        <f>D34</f>
        <v>5.2612126634245993</v>
      </c>
      <c r="Q4" s="41">
        <f>E34</f>
        <v>5.5718710790955432</v>
      </c>
      <c r="R4" s="41">
        <f>F34</f>
        <v>6.0326847811046242</v>
      </c>
      <c r="S4" s="41">
        <f>G34</f>
        <v>6.4120853211095534</v>
      </c>
    </row>
    <row r="5" spans="1:21" x14ac:dyDescent="0.45">
      <c r="A5" t="s">
        <v>5</v>
      </c>
      <c r="B5" s="8">
        <f>B4+B3</f>
        <v>6.9</v>
      </c>
      <c r="C5" s="8">
        <f>C3+C4</f>
        <v>7.5</v>
      </c>
      <c r="D5" s="8">
        <v>8.4</v>
      </c>
      <c r="E5" s="8">
        <v>9.1</v>
      </c>
      <c r="F5" s="8">
        <v>9.9459999999999997</v>
      </c>
      <c r="G5" s="8">
        <v>9.0250000000000004</v>
      </c>
      <c r="H5" s="8">
        <v>9.5239999999999991</v>
      </c>
      <c r="I5" s="8">
        <v>10.861000000000001</v>
      </c>
      <c r="J5" s="8">
        <v>10.504</v>
      </c>
      <c r="K5" s="8">
        <v>10.4</v>
      </c>
      <c r="L5" s="8">
        <v>10.052</v>
      </c>
      <c r="M5" s="8">
        <v>10.875999999999999</v>
      </c>
      <c r="N5" s="42">
        <f t="shared" ref="N5:S5" si="1">N3+N4</f>
        <v>10.83</v>
      </c>
      <c r="O5" s="41">
        <f t="shared" si="1"/>
        <v>12.376819992256735</v>
      </c>
      <c r="P5" s="41">
        <f t="shared" si="1"/>
        <v>12.71407650119086</v>
      </c>
      <c r="Q5" s="41">
        <f t="shared" si="1"/>
        <v>13.165817955060923</v>
      </c>
      <c r="R5" s="41">
        <f t="shared" si="1"/>
        <v>13.756420664741494</v>
      </c>
      <c r="S5" s="41">
        <f t="shared" si="1"/>
        <v>14.25831257815846</v>
      </c>
    </row>
    <row r="6" spans="1:21" x14ac:dyDescent="0.45">
      <c r="A6" t="s">
        <v>2</v>
      </c>
      <c r="B6" s="8">
        <v>9.5</v>
      </c>
      <c r="C6" s="8">
        <v>11</v>
      </c>
      <c r="D6" s="8">
        <v>11</v>
      </c>
      <c r="E6" s="8">
        <v>11</v>
      </c>
      <c r="F6" s="8">
        <v>12</v>
      </c>
      <c r="G6" s="8">
        <v>13</v>
      </c>
      <c r="H6" s="8">
        <v>14</v>
      </c>
      <c r="I6" s="8">
        <v>13.9</v>
      </c>
      <c r="J6" s="8">
        <v>13.6</v>
      </c>
      <c r="K6" s="8">
        <v>13.6</v>
      </c>
      <c r="L6" s="8">
        <v>13.7</v>
      </c>
      <c r="M6" s="8">
        <v>13.7</v>
      </c>
      <c r="N6" s="42">
        <v>13.7</v>
      </c>
      <c r="O6" s="41">
        <v>13.7</v>
      </c>
      <c r="P6" s="41">
        <v>13.7</v>
      </c>
      <c r="Q6" s="41">
        <v>13.7</v>
      </c>
      <c r="R6" s="41">
        <v>15.2</v>
      </c>
      <c r="S6" s="41">
        <v>16.7</v>
      </c>
    </row>
    <row r="7" spans="1:21" x14ac:dyDescent="0.45">
      <c r="A7" t="s">
        <v>260</v>
      </c>
      <c r="B7" s="43">
        <v>10.199999999999999</v>
      </c>
      <c r="C7" s="8">
        <v>10.7</v>
      </c>
      <c r="D7" s="8">
        <v>10.3</v>
      </c>
      <c r="E7" s="8">
        <v>10.199999999999999</v>
      </c>
      <c r="F7" s="48">
        <v>11.8</v>
      </c>
      <c r="G7" s="8">
        <v>10.9</v>
      </c>
      <c r="H7" s="8">
        <v>10.7</v>
      </c>
      <c r="I7" s="8">
        <v>9.9</v>
      </c>
      <c r="J7" s="8">
        <v>10.9</v>
      </c>
      <c r="K7" s="8">
        <v>11.3</v>
      </c>
      <c r="L7" s="8">
        <v>12.1</v>
      </c>
      <c r="M7" s="8">
        <v>11.6</v>
      </c>
      <c r="N7" s="42">
        <v>12.59</v>
      </c>
      <c r="O7" s="41">
        <f>C46</f>
        <v>12.85401564615233</v>
      </c>
      <c r="P7" s="41">
        <f t="shared" ref="P7:S7" si="2">D46</f>
        <v>12.99943885964629</v>
      </c>
      <c r="Q7" s="41">
        <f t="shared" si="2"/>
        <v>13.144898348449459</v>
      </c>
      <c r="R7" s="41">
        <f t="shared" si="2"/>
        <v>13.290339476902391</v>
      </c>
      <c r="S7" s="41">
        <f t="shared" si="2"/>
        <v>13.4357876093082</v>
      </c>
    </row>
    <row r="8" spans="1:21" x14ac:dyDescent="0.45">
      <c r="A8" t="s">
        <v>207</v>
      </c>
      <c r="B8" s="49"/>
      <c r="C8" s="49"/>
      <c r="D8" s="8">
        <v>148.92857142857142</v>
      </c>
      <c r="E8" s="8">
        <v>144.61538461538461</v>
      </c>
      <c r="F8" s="8">
        <v>154.43394329378646</v>
      </c>
      <c r="G8" s="8">
        <v>160.77562326869804</v>
      </c>
      <c r="H8" s="8">
        <v>141.747165056699</v>
      </c>
      <c r="I8" s="8">
        <v>141.51551422520944</v>
      </c>
      <c r="J8" s="8">
        <v>152.798933739528</v>
      </c>
      <c r="K8" s="8">
        <v>166.82692307692307</v>
      </c>
      <c r="L8" s="8">
        <v>176.48229208117789</v>
      </c>
      <c r="M8" s="8">
        <v>165.96175064361898</v>
      </c>
      <c r="N8" s="42">
        <v>177</v>
      </c>
      <c r="O8" s="41">
        <f>(1-O10)*O11+O10*O12</f>
        <v>180.80998450475198</v>
      </c>
      <c r="P8" s="41">
        <f t="shared" ref="P8:S8" si="3">(1-P10)*P11+P10*P12</f>
        <v>185.42205474597387</v>
      </c>
      <c r="Q8" s="41">
        <f t="shared" si="3"/>
        <v>186.31275754569697</v>
      </c>
      <c r="R8" s="41">
        <f t="shared" si="3"/>
        <v>187.7656417735019</v>
      </c>
      <c r="S8" s="41">
        <f t="shared" si="3"/>
        <v>188.82461470373315</v>
      </c>
    </row>
    <row r="9" spans="1:21" x14ac:dyDescent="0.45">
      <c r="A9" t="s">
        <v>0</v>
      </c>
      <c r="B9" s="9">
        <f>B5/B6</f>
        <v>0.72631578947368425</v>
      </c>
      <c r="C9" s="9">
        <f>C5/C6</f>
        <v>0.68181818181818177</v>
      </c>
      <c r="D9" s="9">
        <v>0.76</v>
      </c>
      <c r="E9" s="9">
        <v>0.83</v>
      </c>
      <c r="F9" s="9">
        <v>0.82883333333333331</v>
      </c>
      <c r="G9" s="9">
        <v>0.69423076923076921</v>
      </c>
      <c r="H9" s="9">
        <v>0.68</v>
      </c>
      <c r="I9" s="9">
        <v>0.78</v>
      </c>
      <c r="J9" s="9">
        <v>0.77</v>
      </c>
      <c r="K9" s="9">
        <v>0.77</v>
      </c>
      <c r="L9" s="9">
        <v>0.74</v>
      </c>
      <c r="M9" s="9">
        <v>0.79</v>
      </c>
      <c r="N9" s="50">
        <f>N5/N6</f>
        <v>0.79051094890510953</v>
      </c>
      <c r="O9" s="47">
        <f t="shared" ref="O9:S9" si="4">O5/O6</f>
        <v>0.9034175176829734</v>
      </c>
      <c r="P9" s="47">
        <f t="shared" si="4"/>
        <v>0.92803478110882198</v>
      </c>
      <c r="Q9" s="47">
        <f t="shared" si="4"/>
        <v>0.96100860985846159</v>
      </c>
      <c r="R9" s="47">
        <f t="shared" si="4"/>
        <v>0.90502767531194039</v>
      </c>
      <c r="S9" s="47">
        <f t="shared" si="4"/>
        <v>0.85379117234481794</v>
      </c>
    </row>
    <row r="10" spans="1:21" x14ac:dyDescent="0.45">
      <c r="A10" t="s">
        <v>186</v>
      </c>
      <c r="B10" s="9">
        <f>B4/(B4+B3)</f>
        <v>0.28985507246376813</v>
      </c>
      <c r="C10" s="9">
        <f>C4/(C4+C3)</f>
        <v>0.29333333333333333</v>
      </c>
      <c r="D10" s="9">
        <f>D4/(D4+D3)</f>
        <v>0.29761904761904762</v>
      </c>
      <c r="E10" s="9">
        <f t="shared" ref="E10:S10" si="5">E4/(E4+E3)</f>
        <v>0.27472527472527475</v>
      </c>
      <c r="F10" s="9">
        <f t="shared" si="5"/>
        <v>0.25698773376231654</v>
      </c>
      <c r="G10" s="9">
        <f t="shared" si="5"/>
        <v>0.310803324099723</v>
      </c>
      <c r="H10" s="9">
        <f t="shared" si="5"/>
        <v>0.34628307433851319</v>
      </c>
      <c r="I10" s="9">
        <f t="shared" si="5"/>
        <v>0.33431544056716689</v>
      </c>
      <c r="J10" s="9">
        <f t="shared" si="5"/>
        <v>0.35729246001523224</v>
      </c>
      <c r="K10" s="9">
        <f t="shared" si="5"/>
        <v>0.35096153846153844</v>
      </c>
      <c r="L10" s="9">
        <f t="shared" si="5"/>
        <v>0.39474731396736967</v>
      </c>
      <c r="M10" s="9">
        <f t="shared" si="5"/>
        <v>0.41638319389537559</v>
      </c>
      <c r="N10" s="50">
        <f t="shared" si="5"/>
        <v>0.45337026777469991</v>
      </c>
      <c r="O10" s="47">
        <f t="shared" si="5"/>
        <v>0.41057032145424727</v>
      </c>
      <c r="P10" s="47">
        <f t="shared" si="5"/>
        <v>0.41381005241960039</v>
      </c>
      <c r="Q10" s="47">
        <f t="shared" si="5"/>
        <v>0.42320736152619542</v>
      </c>
      <c r="R10" s="47">
        <f t="shared" si="5"/>
        <v>0.43853593373796323</v>
      </c>
      <c r="S10" s="47">
        <f t="shared" si="5"/>
        <v>0.44970856726285274</v>
      </c>
    </row>
    <row r="11" spans="1:21" x14ac:dyDescent="0.45">
      <c r="A11" s="30" t="s">
        <v>199</v>
      </c>
      <c r="B11" s="49"/>
      <c r="C11" s="49"/>
      <c r="D11" s="41">
        <f>$B$52*D12</f>
        <v>124.83934641956354</v>
      </c>
      <c r="E11" s="41">
        <f>$B$52*E12</f>
        <v>122.7511275112751</v>
      </c>
      <c r="F11" s="41">
        <f>$B$52*F12</f>
        <v>132.37742567881125</v>
      </c>
      <c r="G11" s="41">
        <f>$B$52*G12</f>
        <v>133.81132381406002</v>
      </c>
      <c r="H11" s="41">
        <f>$B$52*H12</f>
        <v>115.7579720823998</v>
      </c>
      <c r="I11" s="41">
        <f>$B$52*I12</f>
        <v>116.30577591511582</v>
      </c>
      <c r="J11" s="41">
        <f>$B$52*J12</f>
        <v>124.06023659401136</v>
      </c>
      <c r="K11" s="41">
        <f>$B$52*K12</f>
        <v>135.90273294598666</v>
      </c>
      <c r="L11" s="41">
        <f>$B$52*L12</f>
        <v>140.51864308818256</v>
      </c>
      <c r="M11" s="41">
        <f>$B$52*M12</f>
        <v>130.68237886753298</v>
      </c>
      <c r="N11" s="42">
        <f>$B$52*N12</f>
        <v>136.79114976239393</v>
      </c>
      <c r="O11" s="41">
        <v>142.79999999999998</v>
      </c>
      <c r="P11" s="41">
        <f>$C$56</f>
        <v>146.19999999999999</v>
      </c>
      <c r="Q11" s="41">
        <f t="shared" ref="Q11:S11" si="6">$C$56</f>
        <v>146.19999999999999</v>
      </c>
      <c r="R11" s="41">
        <f t="shared" si="6"/>
        <v>146.19999999999999</v>
      </c>
      <c r="S11" s="41">
        <f t="shared" si="6"/>
        <v>146.19999999999999</v>
      </c>
    </row>
    <row r="12" spans="1:21" x14ac:dyDescent="0.45">
      <c r="A12" s="30" t="s">
        <v>200</v>
      </c>
      <c r="B12" s="49"/>
      <c r="C12" s="49"/>
      <c r="D12" s="41">
        <f>D8/($B$52*(1-D10)+D10)</f>
        <v>205.77914244983</v>
      </c>
      <c r="E12" s="41">
        <f>E8/($B$52*(1-E10)+E10)</f>
        <v>202.33702337023368</v>
      </c>
      <c r="F12" s="41">
        <f>F8/($B$52*(1-F10)+F10)</f>
        <v>218.20454782221634</v>
      </c>
      <c r="G12" s="41">
        <f>G8/($B$52*(1-G10)+G10)</f>
        <v>220.56811617702198</v>
      </c>
      <c r="H12" s="41">
        <f>H8/($B$52*(1-H10)+H10)</f>
        <v>190.8098440918678</v>
      </c>
      <c r="I12" s="41">
        <f>I8/($B$52*(1-I10)+I10)</f>
        <v>191.71281744249859</v>
      </c>
      <c r="J12" s="41">
        <f>J8/($B$52*(1-J10)+J10)</f>
        <v>204.4948954846341</v>
      </c>
      <c r="K12" s="41">
        <f>K8/($B$52*(1-K10)+K10)</f>
        <v>224.01549386701095</v>
      </c>
      <c r="L12" s="41">
        <f>L8/($B$52*(1-L10)+L10)</f>
        <v>231.62413695854266</v>
      </c>
      <c r="M12" s="41">
        <f>M8/($B$52*(1-M10)+M10)</f>
        <v>215.41051461681261</v>
      </c>
      <c r="N12" s="42">
        <f>N8/($B$52*(1-N10)+N10)</f>
        <v>225.47991719075924</v>
      </c>
      <c r="O12" s="41">
        <v>235.37849999999997</v>
      </c>
      <c r="P12" s="41">
        <f>$C$57</f>
        <v>240.98274999999998</v>
      </c>
      <c r="Q12" s="41">
        <f t="shared" ref="Q12:S12" si="7">$C$57</f>
        <v>240.98274999999998</v>
      </c>
      <c r="R12" s="41">
        <f t="shared" si="7"/>
        <v>240.98274999999998</v>
      </c>
      <c r="S12" s="41">
        <f t="shared" si="7"/>
        <v>240.98274999999998</v>
      </c>
    </row>
    <row r="13" spans="1:21" x14ac:dyDescent="0.45">
      <c r="A13" s="30" t="s">
        <v>261</v>
      </c>
      <c r="B13" s="49"/>
      <c r="C13" s="49"/>
      <c r="D13" s="44">
        <f t="shared" ref="D13:N13" si="8">D15/D7</f>
        <v>13.300970873786406</v>
      </c>
      <c r="E13" s="44">
        <f t="shared" si="8"/>
        <v>14.117647058823531</v>
      </c>
      <c r="F13" s="44">
        <f t="shared" si="8"/>
        <v>12.457627118644067</v>
      </c>
      <c r="G13" s="44">
        <f t="shared" si="8"/>
        <v>13.343119266055044</v>
      </c>
      <c r="H13" s="44">
        <f t="shared" si="8"/>
        <v>13.350467289719626</v>
      </c>
      <c r="I13" s="44">
        <f t="shared" si="8"/>
        <v>12.333333333333332</v>
      </c>
      <c r="J13" s="44">
        <f t="shared" si="8"/>
        <v>10.621100917431193</v>
      </c>
      <c r="K13" s="44">
        <f t="shared" si="8"/>
        <v>11.827433628318584</v>
      </c>
      <c r="L13" s="44">
        <f t="shared" si="8"/>
        <v>12.807438016528925</v>
      </c>
      <c r="M13" s="44">
        <f t="shared" si="8"/>
        <v>11.951724137931034</v>
      </c>
      <c r="N13" s="45">
        <f t="shared" si="8"/>
        <v>12.761180636788323</v>
      </c>
      <c r="O13" s="41">
        <v>12.51</v>
      </c>
      <c r="P13" s="41">
        <v>12.51</v>
      </c>
      <c r="Q13" s="41">
        <v>12.51</v>
      </c>
      <c r="R13" s="41">
        <v>12.51</v>
      </c>
      <c r="S13" s="41">
        <v>12.51</v>
      </c>
      <c r="U13" s="8"/>
    </row>
    <row r="14" spans="1:21" x14ac:dyDescent="0.45">
      <c r="A14" t="s">
        <v>72</v>
      </c>
      <c r="B14" s="49"/>
      <c r="C14" s="49"/>
      <c r="D14" s="8">
        <v>1251</v>
      </c>
      <c r="E14" s="8">
        <v>1316</v>
      </c>
      <c r="F14" s="8">
        <v>1536</v>
      </c>
      <c r="G14" s="8">
        <v>1451</v>
      </c>
      <c r="H14" s="8">
        <v>1350</v>
      </c>
      <c r="I14" s="8">
        <v>1537</v>
      </c>
      <c r="J14" s="8">
        <v>1605</v>
      </c>
      <c r="K14" s="8">
        <v>1735</v>
      </c>
      <c r="L14" s="8">
        <v>1774</v>
      </c>
      <c r="M14" s="8">
        <v>1805</v>
      </c>
      <c r="N14" s="42">
        <v>1920.48</v>
      </c>
      <c r="O14" s="46">
        <f>O11*O3+O4*O12</f>
        <v>2237.852631018045</v>
      </c>
      <c r="P14" s="46">
        <f>P11*P3+P4*P12</f>
        <v>2357.4701890483111</v>
      </c>
      <c r="Q14" s="46">
        <f>Q11*Q3+Q4*Q12</f>
        <v>2452.9598485520501</v>
      </c>
      <c r="R14" s="46">
        <f>R11*R3+R4*R12</f>
        <v>2582.9831546214509</v>
      </c>
      <c r="S14" s="46">
        <f>S11*S3+S4*S12</f>
        <v>2692.3203788961632</v>
      </c>
    </row>
    <row r="15" spans="1:21" x14ac:dyDescent="0.45">
      <c r="A15" t="s">
        <v>201</v>
      </c>
      <c r="B15" s="49"/>
      <c r="C15" s="49"/>
      <c r="D15" s="8">
        <v>137</v>
      </c>
      <c r="E15" s="8">
        <v>144</v>
      </c>
      <c r="F15" s="8">
        <v>147</v>
      </c>
      <c r="G15" s="8">
        <v>145.44</v>
      </c>
      <c r="H15" s="8">
        <v>142.85</v>
      </c>
      <c r="I15" s="8">
        <v>122.1</v>
      </c>
      <c r="J15" s="8">
        <v>115.77</v>
      </c>
      <c r="K15" s="8">
        <v>133.65</v>
      </c>
      <c r="L15" s="8">
        <v>154.97</v>
      </c>
      <c r="M15" s="8">
        <v>138.63999999999999</v>
      </c>
      <c r="N15" s="42">
        <v>160.66326421716499</v>
      </c>
      <c r="O15" s="41">
        <f>O7*O13</f>
        <v>160.80373573336564</v>
      </c>
      <c r="P15" s="41">
        <f t="shared" ref="P15:S15" si="9">P7*P13</f>
        <v>162.62298013417509</v>
      </c>
      <c r="Q15" s="41">
        <f t="shared" si="9"/>
        <v>164.44267833910274</v>
      </c>
      <c r="R15" s="41">
        <f t="shared" si="9"/>
        <v>166.2621468560489</v>
      </c>
      <c r="S15" s="41">
        <f t="shared" si="9"/>
        <v>168.08170299244557</v>
      </c>
    </row>
    <row r="16" spans="1:21" x14ac:dyDescent="0.45">
      <c r="A16" t="s">
        <v>202</v>
      </c>
      <c r="B16" s="49"/>
      <c r="C16" s="49"/>
      <c r="D16" s="8">
        <v>77</v>
      </c>
      <c r="E16" s="8">
        <v>82</v>
      </c>
      <c r="F16" s="8">
        <v>84</v>
      </c>
      <c r="G16" s="8">
        <v>78.12</v>
      </c>
      <c r="H16" s="8">
        <v>77.25</v>
      </c>
      <c r="I16" s="8">
        <v>83.23</v>
      </c>
      <c r="J16" s="8">
        <v>75.510000000000005</v>
      </c>
      <c r="K16" s="8">
        <v>65.38</v>
      </c>
      <c r="L16" s="8">
        <v>76.31</v>
      </c>
      <c r="M16" s="8">
        <v>91.01</v>
      </c>
      <c r="N16" s="42">
        <v>85</v>
      </c>
      <c r="O16" s="41">
        <v>85</v>
      </c>
      <c r="P16" s="41">
        <v>84.394179238322437</v>
      </c>
      <c r="Q16" s="41">
        <v>85.218234468330238</v>
      </c>
      <c r="R16" s="41">
        <v>86.042289698338038</v>
      </c>
      <c r="S16" s="41">
        <v>86.866344928345839</v>
      </c>
      <c r="T16" t="s">
        <v>185</v>
      </c>
    </row>
    <row r="17" spans="1:19" x14ac:dyDescent="0.45">
      <c r="A17" t="s">
        <v>203</v>
      </c>
      <c r="B17" s="8">
        <v>30.085999999999999</v>
      </c>
      <c r="C17" s="8">
        <v>32.667000000000002</v>
      </c>
      <c r="D17" s="8">
        <v>37.715000000000003</v>
      </c>
      <c r="E17" s="8">
        <v>35</v>
      </c>
      <c r="F17" s="8">
        <v>37.25</v>
      </c>
      <c r="G17" s="8">
        <v>41.55</v>
      </c>
      <c r="H17" s="8">
        <v>44.87</v>
      </c>
      <c r="I17" s="8">
        <v>40.81</v>
      </c>
      <c r="J17" s="8">
        <v>39.409999999999997</v>
      </c>
      <c r="K17" s="8">
        <v>43.32</v>
      </c>
      <c r="L17" s="8">
        <v>49.75</v>
      </c>
      <c r="M17" s="8">
        <v>53.76</v>
      </c>
      <c r="N17" s="42">
        <v>64</v>
      </c>
      <c r="O17" s="41">
        <v>57.575001968756908</v>
      </c>
      <c r="P17" s="41">
        <v>59.687724395690218</v>
      </c>
      <c r="Q17" s="41">
        <v>61.800446822623528</v>
      </c>
      <c r="R17" s="41">
        <v>63.913169249556844</v>
      </c>
      <c r="S17" s="41">
        <v>66.025891676490147</v>
      </c>
    </row>
    <row r="18" spans="1:19" x14ac:dyDescent="0.45">
      <c r="A18" t="s">
        <v>64</v>
      </c>
      <c r="B18" s="8">
        <v>1492.2619999999999</v>
      </c>
      <c r="C18" s="8">
        <v>1712.6179999999999</v>
      </c>
      <c r="D18" s="8">
        <v>1562</v>
      </c>
      <c r="E18" s="8">
        <v>1682</v>
      </c>
      <c r="F18" s="8">
        <v>2035</v>
      </c>
      <c r="G18" s="8">
        <v>2089</v>
      </c>
      <c r="H18" s="8">
        <v>1615</v>
      </c>
      <c r="I18" s="8">
        <v>1783</v>
      </c>
      <c r="J18" s="8">
        <v>1975</v>
      </c>
      <c r="K18" s="8">
        <v>2022</v>
      </c>
      <c r="L18" s="8">
        <v>2069</v>
      </c>
      <c r="M18" s="8">
        <v>2152</v>
      </c>
      <c r="N18" s="49"/>
      <c r="O18" s="49"/>
      <c r="P18" s="49"/>
      <c r="Q18" s="49"/>
      <c r="R18" s="49"/>
      <c r="S18" s="49"/>
    </row>
    <row r="19" spans="1:19" x14ac:dyDescent="0.45">
      <c r="A19" t="s">
        <v>204</v>
      </c>
      <c r="B19" s="8">
        <v>266.09699999999998</v>
      </c>
      <c r="C19" s="8">
        <v>364.13600000000002</v>
      </c>
      <c r="D19" s="8">
        <v>59.109000000000002</v>
      </c>
      <c r="E19" s="8">
        <v>104</v>
      </c>
      <c r="F19" s="8">
        <v>230.68</v>
      </c>
      <c r="G19" s="8">
        <v>372.73</v>
      </c>
      <c r="H19" s="8">
        <v>0</v>
      </c>
      <c r="I19" s="8">
        <v>0</v>
      </c>
      <c r="J19" s="8">
        <v>139.15</v>
      </c>
      <c r="K19" s="8">
        <v>44.27</v>
      </c>
      <c r="L19" s="8">
        <v>13.63</v>
      </c>
      <c r="M19" s="8">
        <v>63.3</v>
      </c>
      <c r="N19" s="49"/>
      <c r="O19" s="49"/>
      <c r="P19" s="49"/>
      <c r="Q19" s="49"/>
      <c r="R19" s="49"/>
      <c r="S19" s="49"/>
    </row>
    <row r="20" spans="1:19" x14ac:dyDescent="0.45">
      <c r="A20" s="79" t="s">
        <v>205</v>
      </c>
      <c r="B20" s="80">
        <v>1226.165</v>
      </c>
      <c r="C20" s="80">
        <f>C18-C19</f>
        <v>1348.482</v>
      </c>
      <c r="D20" s="80">
        <f>D18-D19</f>
        <v>1502.8910000000001</v>
      </c>
      <c r="E20" s="80">
        <f>E18-E19</f>
        <v>1578</v>
      </c>
      <c r="F20" s="80">
        <f>F18-F19</f>
        <v>1804.32</v>
      </c>
      <c r="G20" s="80">
        <f t="shared" ref="G20:M20" si="10">G18-G19</f>
        <v>1716.27</v>
      </c>
      <c r="H20" s="80">
        <f t="shared" si="10"/>
        <v>1615</v>
      </c>
      <c r="I20" s="80">
        <f t="shared" si="10"/>
        <v>1783</v>
      </c>
      <c r="J20" s="80">
        <f t="shared" si="10"/>
        <v>1835.85</v>
      </c>
      <c r="K20" s="80">
        <f t="shared" si="10"/>
        <v>1977.73</v>
      </c>
      <c r="L20" s="80">
        <f t="shared" si="10"/>
        <v>2055.37</v>
      </c>
      <c r="M20" s="80">
        <f t="shared" si="10"/>
        <v>2088.6999999999998</v>
      </c>
      <c r="N20" s="81">
        <f>SUM(N14:N17)</f>
        <v>2230.1432642171649</v>
      </c>
      <c r="O20" s="82">
        <f t="shared" ref="O20:S20" si="11">SUM(O14:O17)</f>
        <v>2541.2313687201677</v>
      </c>
      <c r="P20" s="82">
        <f t="shared" si="11"/>
        <v>2664.1750728164989</v>
      </c>
      <c r="Q20" s="82">
        <f t="shared" si="11"/>
        <v>2764.4212081821065</v>
      </c>
      <c r="R20" s="82">
        <f t="shared" si="11"/>
        <v>2899.2007604253945</v>
      </c>
      <c r="S20" s="82">
        <f t="shared" si="11"/>
        <v>3013.2943184934447</v>
      </c>
    </row>
    <row r="21" spans="1:19" x14ac:dyDescent="0.45">
      <c r="A21" t="s">
        <v>206</v>
      </c>
      <c r="B21" s="9"/>
      <c r="C21" s="9">
        <f t="shared" ref="C21:M21" si="12">C20/B20-1</f>
        <v>9.9755742497950939E-2</v>
      </c>
      <c r="D21" s="9">
        <f t="shared" si="12"/>
        <v>0.11450579243920211</v>
      </c>
      <c r="E21" s="9">
        <f t="shared" si="12"/>
        <v>4.9976345589932913E-2</v>
      </c>
      <c r="F21" s="9">
        <f t="shared" si="12"/>
        <v>0.14342205323193902</v>
      </c>
      <c r="G21" s="9">
        <f t="shared" si="12"/>
        <v>-4.8799547752061745E-2</v>
      </c>
      <c r="H21" s="9">
        <f t="shared" si="12"/>
        <v>-5.9005867375179877E-2</v>
      </c>
      <c r="I21" s="9">
        <f t="shared" si="12"/>
        <v>0.10402476780185754</v>
      </c>
      <c r="J21" s="9">
        <f t="shared" si="12"/>
        <v>2.9641054402691935E-2</v>
      </c>
      <c r="K21" s="9">
        <f t="shared" si="12"/>
        <v>7.7283002423945479E-2</v>
      </c>
      <c r="L21" s="9">
        <f t="shared" si="12"/>
        <v>3.9257128121634288E-2</v>
      </c>
      <c r="M21" s="9">
        <f t="shared" si="12"/>
        <v>1.6216058422571011E-2</v>
      </c>
      <c r="N21" s="9">
        <f>N20/M20-1</f>
        <v>6.7718324420531939E-2</v>
      </c>
      <c r="O21" s="47">
        <f t="shared" ref="O21:R21" si="13">O20/N20-1</f>
        <v>0.13949243059602368</v>
      </c>
      <c r="P21" s="47">
        <f t="shared" si="13"/>
        <v>4.8379579132241224E-2</v>
      </c>
      <c r="Q21" s="47">
        <f t="shared" si="13"/>
        <v>3.7627457890607063E-2</v>
      </c>
      <c r="R21" s="47">
        <f t="shared" si="13"/>
        <v>4.8755070987145155E-2</v>
      </c>
      <c r="S21" s="47">
        <f>S20/R20-1</f>
        <v>3.9353452035970626E-2</v>
      </c>
    </row>
    <row r="23" spans="1:19" x14ac:dyDescent="0.45">
      <c r="A23" s="52" t="s">
        <v>194</v>
      </c>
      <c r="R23" s="105" t="s">
        <v>227</v>
      </c>
      <c r="S23" s="106">
        <f>(S20/N20)^(1/(COUNTA(N2:S2)-1))-1</f>
        <v>6.2042161535704743E-2</v>
      </c>
    </row>
    <row r="24" spans="1:19" x14ac:dyDescent="0.45">
      <c r="A24" s="40" t="s">
        <v>187</v>
      </c>
    </row>
    <row r="25" spans="1:19" x14ac:dyDescent="0.45">
      <c r="A25" s="39" t="s">
        <v>192</v>
      </c>
      <c r="F25" s="9"/>
    </row>
    <row r="26" spans="1:19" x14ac:dyDescent="0.45">
      <c r="A26" s="51" t="s">
        <v>193</v>
      </c>
      <c r="F26" s="9"/>
    </row>
    <row r="27" spans="1:19" x14ac:dyDescent="0.45">
      <c r="F27" s="9"/>
      <c r="J27" s="8"/>
      <c r="K27" s="8"/>
      <c r="L27" s="8"/>
      <c r="M27" s="8"/>
      <c r="N27" s="8"/>
    </row>
    <row r="28" spans="1:19" x14ac:dyDescent="0.45">
      <c r="A28" s="52" t="s">
        <v>195</v>
      </c>
      <c r="J28" s="8"/>
      <c r="K28" s="8"/>
      <c r="L28" s="8"/>
      <c r="M28" s="8"/>
      <c r="N28" s="8"/>
    </row>
    <row r="29" spans="1:19" x14ac:dyDescent="0.45">
      <c r="A29" s="55" t="s">
        <v>229</v>
      </c>
      <c r="B29" s="98" t="s">
        <v>245</v>
      </c>
      <c r="C29" s="99"/>
      <c r="D29" s="99"/>
      <c r="E29" s="99"/>
      <c r="F29" s="99"/>
      <c r="G29" s="100"/>
    </row>
    <row r="30" spans="1:19" x14ac:dyDescent="0.45">
      <c r="A30" s="55" t="s">
        <v>246</v>
      </c>
      <c r="B30" s="55" t="s">
        <v>228</v>
      </c>
      <c r="C30" s="59">
        <v>2025</v>
      </c>
      <c r="D30" s="59">
        <v>2026</v>
      </c>
      <c r="E30" s="59">
        <v>2027</v>
      </c>
      <c r="F30" s="59">
        <v>2028</v>
      </c>
      <c r="G30" s="60">
        <v>2029</v>
      </c>
      <c r="N30" s="8"/>
    </row>
    <row r="31" spans="1:19" x14ac:dyDescent="0.45">
      <c r="A31" s="61" t="s">
        <v>244</v>
      </c>
      <c r="B31" s="68">
        <v>0.4</v>
      </c>
      <c r="C31" s="62">
        <v>5.1327959999999999</v>
      </c>
      <c r="D31" s="62">
        <v>5.2929490000000001</v>
      </c>
      <c r="E31" s="62">
        <v>5.5967070000000003</v>
      </c>
      <c r="F31" s="62">
        <v>5.9853560000000003</v>
      </c>
      <c r="G31" s="62">
        <v>6.2557660000000004</v>
      </c>
      <c r="N31" s="8"/>
    </row>
    <row r="32" spans="1:19" x14ac:dyDescent="0.45">
      <c r="A32" s="61" t="s">
        <v>248</v>
      </c>
      <c r="B32" s="68">
        <v>0.4</v>
      </c>
      <c r="C32" s="62">
        <v>5.0222990000000003</v>
      </c>
      <c r="D32" s="62">
        <v>5.286988</v>
      </c>
      <c r="E32" s="62">
        <v>5.6103310000000004</v>
      </c>
      <c r="F32" s="62">
        <v>6.1179290000000002</v>
      </c>
      <c r="G32" s="62">
        <v>6.6148213</v>
      </c>
    </row>
    <row r="33" spans="1:7" x14ac:dyDescent="0.45">
      <c r="A33" s="61" t="s">
        <v>188</v>
      </c>
      <c r="B33" s="68">
        <v>0.2</v>
      </c>
      <c r="C33" s="62">
        <v>5.0975848140110074</v>
      </c>
      <c r="D33" s="62">
        <v>5.1461893171229978</v>
      </c>
      <c r="E33" s="62">
        <v>5.4452793954777121</v>
      </c>
      <c r="F33" s="62">
        <v>5.9568539055231176</v>
      </c>
      <c r="G33" s="62">
        <v>6.3192520055477663</v>
      </c>
    </row>
    <row r="34" spans="1:7" x14ac:dyDescent="0.45">
      <c r="A34" s="55" t="s">
        <v>196</v>
      </c>
      <c r="B34" s="53"/>
      <c r="C34" s="56">
        <f>C31*$B$31+C32*$B$32+C33*$B$33</f>
        <v>5.0815549628022021</v>
      </c>
      <c r="D34" s="56">
        <f t="shared" ref="D34:G34" si="14">D31*$B$31+D32*$B$32+D33*$B$33</f>
        <v>5.2612126634245993</v>
      </c>
      <c r="E34" s="56">
        <f t="shared" si="14"/>
        <v>5.5718710790955432</v>
      </c>
      <c r="F34" s="56">
        <f t="shared" si="14"/>
        <v>6.0326847811046242</v>
      </c>
      <c r="G34" s="56">
        <f t="shared" si="14"/>
        <v>6.4120853211095534</v>
      </c>
    </row>
    <row r="36" spans="1:7" x14ac:dyDescent="0.45">
      <c r="A36" s="58" t="s">
        <v>230</v>
      </c>
      <c r="B36" s="98" t="s">
        <v>245</v>
      </c>
      <c r="C36" s="99"/>
      <c r="D36" s="99"/>
      <c r="E36" s="99"/>
      <c r="F36" s="99"/>
      <c r="G36" s="100"/>
    </row>
    <row r="37" spans="1:7" x14ac:dyDescent="0.45">
      <c r="A37" s="55" t="s">
        <v>246</v>
      </c>
      <c r="B37" s="55" t="s">
        <v>228</v>
      </c>
      <c r="C37" s="64">
        <v>2025</v>
      </c>
      <c r="D37" s="64">
        <v>2026</v>
      </c>
      <c r="E37" s="64">
        <v>2027</v>
      </c>
      <c r="F37" s="64">
        <v>2028</v>
      </c>
      <c r="G37" s="65">
        <v>2029</v>
      </c>
    </row>
    <row r="38" spans="1:7" x14ac:dyDescent="0.45">
      <c r="A38" s="103" t="s">
        <v>243</v>
      </c>
      <c r="B38" s="68">
        <v>0.3</v>
      </c>
      <c r="C38" s="62">
        <v>6.8153230000000002</v>
      </c>
      <c r="D38" s="62">
        <v>7.1086200000000002</v>
      </c>
      <c r="E38" s="62">
        <v>7.3483239999999999</v>
      </c>
      <c r="F38" s="62">
        <v>7.551717</v>
      </c>
      <c r="G38" s="62">
        <v>7.7320120000000001</v>
      </c>
    </row>
    <row r="39" spans="1:7" x14ac:dyDescent="0.45">
      <c r="A39" s="69" t="s">
        <v>188</v>
      </c>
      <c r="B39" s="68">
        <v>0.7</v>
      </c>
      <c r="C39" s="62">
        <v>7.5009544706493321</v>
      </c>
      <c r="D39" s="62">
        <v>7.6003969110946574</v>
      </c>
      <c r="E39" s="62">
        <v>7.6992138228076872</v>
      </c>
      <c r="F39" s="62">
        <v>7.7974582623383855</v>
      </c>
      <c r="G39" s="62">
        <v>7.8951766529270104</v>
      </c>
    </row>
    <row r="40" spans="1:7" x14ac:dyDescent="0.45">
      <c r="A40" s="58" t="s">
        <v>196</v>
      </c>
      <c r="B40" s="53"/>
      <c r="C40" s="56">
        <f>C38*$B$38+C39*$B$39</f>
        <v>7.2952650294545327</v>
      </c>
      <c r="D40" s="56">
        <f t="shared" ref="D40:G40" si="15">D38*$B$38+D39*$B$39</f>
        <v>7.4528638377662597</v>
      </c>
      <c r="E40" s="56">
        <f t="shared" si="15"/>
        <v>7.593946875965381</v>
      </c>
      <c r="F40" s="56">
        <f t="shared" si="15"/>
        <v>7.7237358836368699</v>
      </c>
      <c r="G40" s="57">
        <f t="shared" si="15"/>
        <v>7.8462272570489064</v>
      </c>
    </row>
    <row r="42" spans="1:7" x14ac:dyDescent="0.45">
      <c r="A42" s="58" t="s">
        <v>231</v>
      </c>
      <c r="B42" s="98" t="s">
        <v>245</v>
      </c>
      <c r="C42" s="99"/>
      <c r="D42" s="99"/>
      <c r="E42" s="99"/>
      <c r="F42" s="99"/>
      <c r="G42" s="100"/>
    </row>
    <row r="43" spans="1:7" x14ac:dyDescent="0.45">
      <c r="A43" s="55" t="s">
        <v>246</v>
      </c>
      <c r="B43" s="55" t="s">
        <v>228</v>
      </c>
      <c r="C43" s="64">
        <v>2025</v>
      </c>
      <c r="D43" s="64">
        <v>2026</v>
      </c>
      <c r="E43" s="64">
        <v>2027</v>
      </c>
      <c r="F43" s="64">
        <v>2028</v>
      </c>
      <c r="G43" s="65">
        <v>2029</v>
      </c>
    </row>
    <row r="44" spans="1:7" x14ac:dyDescent="0.45">
      <c r="A44" s="69" t="s">
        <v>242</v>
      </c>
      <c r="B44" s="68">
        <v>0.5</v>
      </c>
      <c r="C44" s="90">
        <v>12.890610000000001</v>
      </c>
      <c r="D44" s="91">
        <v>13.0364</v>
      </c>
      <c r="E44" s="90">
        <v>13.182259999999999</v>
      </c>
      <c r="F44" s="91">
        <v>13.32808</v>
      </c>
      <c r="G44" s="90">
        <v>13.47391</v>
      </c>
    </row>
    <row r="45" spans="1:7" x14ac:dyDescent="0.45">
      <c r="A45" s="54" t="s">
        <v>188</v>
      </c>
      <c r="B45" s="71">
        <v>0.5</v>
      </c>
      <c r="C45" s="92">
        <v>12.817421292304658</v>
      </c>
      <c r="D45" s="93">
        <v>12.962477719292579</v>
      </c>
      <c r="E45" s="92">
        <v>13.107536696898919</v>
      </c>
      <c r="F45" s="93">
        <v>13.252598953804782</v>
      </c>
      <c r="G45" s="92">
        <v>13.3976652186164</v>
      </c>
    </row>
    <row r="46" spans="1:7" x14ac:dyDescent="0.45">
      <c r="A46" s="58" t="s">
        <v>196</v>
      </c>
      <c r="B46" s="53"/>
      <c r="C46" s="56">
        <f>$B$44*C44+C45*$B$45</f>
        <v>12.85401564615233</v>
      </c>
      <c r="D46" s="56">
        <f>$B$44*D44+D45*$B$45</f>
        <v>12.99943885964629</v>
      </c>
      <c r="E46" s="56">
        <f>$B$44*E44+E45*$B$45</f>
        <v>13.144898348449459</v>
      </c>
      <c r="F46" s="56">
        <f>$B$44*F44+F45*$B$45</f>
        <v>13.290339476902391</v>
      </c>
      <c r="G46" s="57">
        <f>$B$44*G44+G45*$B$45</f>
        <v>13.4357876093082</v>
      </c>
    </row>
    <row r="48" spans="1:7" x14ac:dyDescent="0.45">
      <c r="A48" s="52" t="s">
        <v>232</v>
      </c>
    </row>
    <row r="49" spans="1:13" x14ac:dyDescent="0.45">
      <c r="A49" s="55"/>
      <c r="B49" s="72" t="s">
        <v>189</v>
      </c>
    </row>
    <row r="50" spans="1:13" x14ac:dyDescent="0.45">
      <c r="A50" s="69" t="s">
        <v>152</v>
      </c>
      <c r="B50" s="70">
        <v>182</v>
      </c>
    </row>
    <row r="51" spans="1:13" x14ac:dyDescent="0.45">
      <c r="A51" s="54" t="s">
        <v>153</v>
      </c>
      <c r="B51" s="73">
        <v>300</v>
      </c>
      <c r="J51" s="89"/>
    </row>
    <row r="52" spans="1:13" x14ac:dyDescent="0.45">
      <c r="A52" s="58" t="s">
        <v>197</v>
      </c>
      <c r="B52" s="94">
        <f>B50/B51</f>
        <v>0.60666666666666669</v>
      </c>
      <c r="J52" s="89"/>
    </row>
    <row r="53" spans="1:13" x14ac:dyDescent="0.45">
      <c r="J53" s="89"/>
    </row>
    <row r="54" spans="1:13" x14ac:dyDescent="0.45">
      <c r="A54" s="52" t="s">
        <v>236</v>
      </c>
      <c r="J54" s="89"/>
    </row>
    <row r="55" spans="1:13" x14ac:dyDescent="0.45">
      <c r="A55" s="55"/>
      <c r="B55" s="59" t="s">
        <v>233</v>
      </c>
      <c r="C55" s="59" t="s">
        <v>234</v>
      </c>
      <c r="D55" s="59" t="s">
        <v>190</v>
      </c>
      <c r="E55" s="59" t="s">
        <v>191</v>
      </c>
      <c r="F55" s="55" t="s">
        <v>235</v>
      </c>
      <c r="J55" s="89"/>
    </row>
    <row r="56" spans="1:13" x14ac:dyDescent="0.45">
      <c r="A56" s="70" t="s">
        <v>152</v>
      </c>
      <c r="B56" s="74">
        <v>136</v>
      </c>
      <c r="C56" s="74">
        <f>B56*(1+increment)</f>
        <v>146.19999999999999</v>
      </c>
      <c r="D56" s="74">
        <f>2/3</f>
        <v>0.66666666666666663</v>
      </c>
      <c r="E56" s="74">
        <f>1/3</f>
        <v>0.33333333333333331</v>
      </c>
      <c r="F56" s="101">
        <f>C56*D56+B56*E56</f>
        <v>142.79999999999998</v>
      </c>
      <c r="J56" s="89"/>
    </row>
    <row r="57" spans="1:13" x14ac:dyDescent="0.45">
      <c r="A57" s="73" t="s">
        <v>153</v>
      </c>
      <c r="B57" s="66">
        <v>224.17</v>
      </c>
      <c r="C57" s="66">
        <f>B57*(1+increment)</f>
        <v>240.98274999999998</v>
      </c>
      <c r="D57" s="66">
        <f>2/3</f>
        <v>0.66666666666666663</v>
      </c>
      <c r="E57" s="66">
        <f>1/3</f>
        <v>0.33333333333333331</v>
      </c>
      <c r="F57" s="102">
        <f t="shared" ref="F57" si="16">C57*D57+B57*E57</f>
        <v>235.37849999999997</v>
      </c>
    </row>
    <row r="58" spans="1:13" x14ac:dyDescent="0.45">
      <c r="I58" s="89"/>
      <c r="J58" s="89"/>
      <c r="K58" s="89"/>
      <c r="L58" s="89"/>
      <c r="M58" s="89"/>
    </row>
  </sheetData>
  <mergeCells count="3">
    <mergeCell ref="B29:G29"/>
    <mergeCell ref="B42:G42"/>
    <mergeCell ref="B36:G36"/>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4697BB-B430-4A31-BC3E-E2F06296B8E4}">
  <dimension ref="A1:E19"/>
  <sheetViews>
    <sheetView workbookViewId="0">
      <selection activeCell="D15" sqref="D15:E19"/>
    </sheetView>
  </sheetViews>
  <sheetFormatPr defaultRowHeight="14.25" x14ac:dyDescent="0.45"/>
  <cols>
    <col min="1" max="1" width="9.46484375" customWidth="1"/>
    <col min="3" max="3" width="9.53125" customWidth="1"/>
    <col min="4" max="5" width="22.3984375" customWidth="1"/>
  </cols>
  <sheetData>
    <row r="1" spans="1:5" x14ac:dyDescent="0.45">
      <c r="A1" t="s">
        <v>180</v>
      </c>
      <c r="B1" t="s">
        <v>181</v>
      </c>
      <c r="C1" t="s">
        <v>182</v>
      </c>
      <c r="D1" t="s">
        <v>183</v>
      </c>
      <c r="E1" t="s">
        <v>184</v>
      </c>
    </row>
    <row r="2" spans="1:5" x14ac:dyDescent="0.45">
      <c r="A2">
        <v>2012</v>
      </c>
      <c r="B2" s="8">
        <v>2</v>
      </c>
    </row>
    <row r="3" spans="1:5" x14ac:dyDescent="0.45">
      <c r="A3">
        <v>2013</v>
      </c>
      <c r="B3" s="8">
        <v>2.2000000000000002</v>
      </c>
    </row>
    <row r="4" spans="1:5" x14ac:dyDescent="0.45">
      <c r="A4">
        <v>2014</v>
      </c>
      <c r="B4" s="8">
        <v>2.5</v>
      </c>
    </row>
    <row r="5" spans="1:5" x14ac:dyDescent="0.45">
      <c r="A5">
        <v>2015</v>
      </c>
      <c r="B5" s="8">
        <v>2.5</v>
      </c>
    </row>
    <row r="6" spans="1:5" x14ac:dyDescent="0.45">
      <c r="A6">
        <v>2016</v>
      </c>
      <c r="B6" s="8">
        <v>2.556</v>
      </c>
    </row>
    <row r="7" spans="1:5" x14ac:dyDescent="0.45">
      <c r="A7">
        <v>2017</v>
      </c>
      <c r="B7" s="8">
        <v>2.8050000000000002</v>
      </c>
    </row>
    <row r="8" spans="1:5" x14ac:dyDescent="0.45">
      <c r="A8">
        <v>2018</v>
      </c>
      <c r="B8" s="8">
        <v>3.298</v>
      </c>
    </row>
    <row r="9" spans="1:5" x14ac:dyDescent="0.45">
      <c r="A9">
        <v>2019</v>
      </c>
      <c r="B9" s="8">
        <v>3.6309999999999998</v>
      </c>
    </row>
    <row r="10" spans="1:5" x14ac:dyDescent="0.45">
      <c r="A10">
        <v>2020</v>
      </c>
      <c r="B10" s="8">
        <v>3.7530000000000001</v>
      </c>
    </row>
    <row r="11" spans="1:5" x14ac:dyDescent="0.45">
      <c r="A11">
        <v>2021</v>
      </c>
      <c r="B11" s="8">
        <v>3.65</v>
      </c>
    </row>
    <row r="12" spans="1:5" x14ac:dyDescent="0.45">
      <c r="A12">
        <v>2022</v>
      </c>
      <c r="B12" s="8">
        <v>3.968</v>
      </c>
    </row>
    <row r="13" spans="1:5" x14ac:dyDescent="0.45">
      <c r="A13">
        <v>2023</v>
      </c>
      <c r="B13" s="8">
        <v>4.5289999999999999</v>
      </c>
    </row>
    <row r="14" spans="1:5" x14ac:dyDescent="0.45">
      <c r="A14">
        <v>2024</v>
      </c>
      <c r="B14" s="8">
        <v>4.91</v>
      </c>
      <c r="C14" s="8">
        <v>4.91</v>
      </c>
      <c r="D14" s="8">
        <v>4.91</v>
      </c>
      <c r="E14" s="8">
        <v>4.91</v>
      </c>
    </row>
    <row r="15" spans="1:5" x14ac:dyDescent="0.45">
      <c r="A15">
        <v>2025</v>
      </c>
      <c r="C15" s="8">
        <f>_xlfn.FORECAST.ETS(A15,$B$2:$B$14,$A$2:$A$14,1,1)</f>
        <v>4.9670876957660566</v>
      </c>
      <c r="D15" s="8">
        <f>C15-_xlfn.FORECAST.ETS.CONFINT(A15,$B$2:$B$14,$A$2:$A$14,0.8,1,1)</f>
        <v>4.8365905775211058</v>
      </c>
      <c r="E15" s="8">
        <f>C15+_xlfn.FORECAST.ETS.CONFINT(A15,$B$2:$B$14,$A$2:$A$14,0.8,1,1)</f>
        <v>5.0975848140110074</v>
      </c>
    </row>
    <row r="16" spans="1:5" x14ac:dyDescent="0.45">
      <c r="A16">
        <v>2026</v>
      </c>
      <c r="C16" s="8">
        <f>_xlfn.FORECAST.ETS(A16,$B$2:$B$14,$A$2:$A$14,1,1)</f>
        <v>4.9705360755622658</v>
      </c>
      <c r="D16" s="8">
        <f>C16-_xlfn.FORECAST.ETS.CONFINT(A16,$B$2:$B$14,$A$2:$A$14,0.8,1,1)</f>
        <v>4.7948828340015339</v>
      </c>
      <c r="E16" s="8">
        <f>C16+_xlfn.FORECAST.ETS.CONFINT(A16,$B$2:$B$14,$A$2:$A$14,0.8,1,1)</f>
        <v>5.1461893171229978</v>
      </c>
    </row>
    <row r="17" spans="1:5" x14ac:dyDescent="0.45">
      <c r="A17">
        <v>2027</v>
      </c>
      <c r="C17" s="8">
        <f>_xlfn.FORECAST.ETS(A17,$B$2:$B$14,$A$2:$A$14,1,1)</f>
        <v>5.2338335895225958</v>
      </c>
      <c r="D17" s="8">
        <f>C17-_xlfn.FORECAST.ETS.CONFINT(A17,$B$2:$B$14,$A$2:$A$14,0.8,1,1)</f>
        <v>5.0223877835674795</v>
      </c>
      <c r="E17" s="8">
        <f>C17+_xlfn.FORECAST.ETS.CONFINT(A17,$B$2:$B$14,$A$2:$A$14,0.8,1,1)</f>
        <v>5.4452793954777121</v>
      </c>
    </row>
    <row r="18" spans="1:5" x14ac:dyDescent="0.45">
      <c r="A18">
        <v>2028</v>
      </c>
      <c r="C18" s="8">
        <f>_xlfn.FORECAST.ETS(A18,$B$2:$B$14,$A$2:$A$14,1,1)</f>
        <v>5.7147891730962712</v>
      </c>
      <c r="D18" s="8">
        <f>C18-_xlfn.FORECAST.ETS.CONFINT(A18,$B$2:$B$14,$A$2:$A$14,0.8,1,1)</f>
        <v>5.4727244406694249</v>
      </c>
      <c r="E18" s="8">
        <f>C18+_xlfn.FORECAST.ETS.CONFINT(A18,$B$2:$B$14,$A$2:$A$14,0.8,1,1)</f>
        <v>5.9568539055231176</v>
      </c>
    </row>
    <row r="19" spans="1:5" x14ac:dyDescent="0.45">
      <c r="A19">
        <v>2029</v>
      </c>
      <c r="C19" s="8">
        <f>_xlfn.FORECAST.ETS(A19,$B$2:$B$14,$A$2:$A$14,1,1)</f>
        <v>6.0499712731950712</v>
      </c>
      <c r="D19" s="8">
        <f>C19-_xlfn.FORECAST.ETS.CONFINT(A19,$B$2:$B$14,$A$2:$A$14,0.8,1,1)</f>
        <v>5.7806905408423761</v>
      </c>
      <c r="E19" s="8">
        <f>C19+_xlfn.FORECAST.ETS.CONFINT(A19,$B$2:$B$14,$A$2:$A$14,0.8,1,1)</f>
        <v>6.3192520055477663</v>
      </c>
    </row>
  </sheetData>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74FD2F-518D-4F35-8962-6985F2B03D25}">
  <dimension ref="A1:E19"/>
  <sheetViews>
    <sheetView workbookViewId="0">
      <selection activeCell="D15" sqref="D15:E19"/>
    </sheetView>
  </sheetViews>
  <sheetFormatPr defaultRowHeight="14.25" x14ac:dyDescent="0.45"/>
  <cols>
    <col min="1" max="1" width="9.46484375" customWidth="1"/>
    <col min="3" max="3" width="9.53125" customWidth="1"/>
    <col min="4" max="5" width="22.3984375" customWidth="1"/>
  </cols>
  <sheetData>
    <row r="1" spans="1:5" x14ac:dyDescent="0.45">
      <c r="A1" t="s">
        <v>180</v>
      </c>
      <c r="B1" t="s">
        <v>181</v>
      </c>
      <c r="C1" t="s">
        <v>182</v>
      </c>
      <c r="D1" t="s">
        <v>183</v>
      </c>
      <c r="E1" t="s">
        <v>184</v>
      </c>
    </row>
    <row r="2" spans="1:5" x14ac:dyDescent="0.45">
      <c r="A2">
        <v>2012</v>
      </c>
      <c r="B2" s="8">
        <v>4.9000000000000004</v>
      </c>
    </row>
    <row r="3" spans="1:5" x14ac:dyDescent="0.45">
      <c r="A3">
        <v>2013</v>
      </c>
      <c r="B3" s="8">
        <v>5.3</v>
      </c>
    </row>
    <row r="4" spans="1:5" x14ac:dyDescent="0.45">
      <c r="A4">
        <v>2014</v>
      </c>
      <c r="B4" s="8">
        <v>5.9</v>
      </c>
    </row>
    <row r="5" spans="1:5" x14ac:dyDescent="0.45">
      <c r="A5">
        <v>2015</v>
      </c>
      <c r="B5" s="8">
        <v>6.6</v>
      </c>
    </row>
    <row r="6" spans="1:5" x14ac:dyDescent="0.45">
      <c r="A6">
        <v>2016</v>
      </c>
      <c r="B6" s="8">
        <v>7.39</v>
      </c>
    </row>
    <row r="7" spans="1:5" x14ac:dyDescent="0.45">
      <c r="A7">
        <v>2017</v>
      </c>
      <c r="B7" s="8">
        <v>6.22</v>
      </c>
    </row>
    <row r="8" spans="1:5" x14ac:dyDescent="0.45">
      <c r="A8">
        <v>2018</v>
      </c>
      <c r="B8" s="8">
        <v>6.226</v>
      </c>
    </row>
    <row r="9" spans="1:5" x14ac:dyDescent="0.45">
      <c r="A9">
        <v>2019</v>
      </c>
      <c r="B9" s="8">
        <v>7.23</v>
      </c>
    </row>
    <row r="10" spans="1:5" x14ac:dyDescent="0.45">
      <c r="A10">
        <v>2020</v>
      </c>
      <c r="B10" s="8">
        <v>6.7510000000000003</v>
      </c>
    </row>
    <row r="11" spans="1:5" x14ac:dyDescent="0.45">
      <c r="A11">
        <v>2021</v>
      </c>
      <c r="B11" s="8">
        <v>6.75</v>
      </c>
    </row>
    <row r="12" spans="1:5" x14ac:dyDescent="0.45">
      <c r="A12">
        <v>2022</v>
      </c>
      <c r="B12" s="8">
        <v>6.0839999999999996</v>
      </c>
    </row>
    <row r="13" spans="1:5" x14ac:dyDescent="0.45">
      <c r="A13">
        <v>2023</v>
      </c>
      <c r="B13" s="8">
        <v>6.3479999999999999</v>
      </c>
    </row>
    <row r="14" spans="1:5" x14ac:dyDescent="0.45">
      <c r="A14">
        <v>2024</v>
      </c>
      <c r="B14" s="8">
        <v>5.92</v>
      </c>
      <c r="C14" s="8">
        <v>5.92</v>
      </c>
      <c r="D14" s="8">
        <v>5.92</v>
      </c>
      <c r="E14" s="8">
        <v>5.92</v>
      </c>
    </row>
    <row r="15" spans="1:5" x14ac:dyDescent="0.45">
      <c r="A15">
        <v>2025</v>
      </c>
      <c r="C15" s="8">
        <f>_xlfn.FORECAST.ETS(A15,$B$2:$B$14,$A$2:$A$14,1,1)</f>
        <v>6.5664905063724799</v>
      </c>
      <c r="D15" s="8">
        <f>C15-_xlfn.FORECAST.ETS.CONFINT(A15,$B$2:$B$14,$A$2:$A$14,0.8,1,1)</f>
        <v>5.6320265420956277</v>
      </c>
      <c r="E15" s="8">
        <f>C15+_xlfn.FORECAST.ETS.CONFINT(A15,$B$2:$B$14,$A$2:$A$14,0.8,1,1)</f>
        <v>7.5009544706493321</v>
      </c>
    </row>
    <row r="16" spans="1:5" x14ac:dyDescent="0.45">
      <c r="A16">
        <v>2026</v>
      </c>
      <c r="C16" s="8">
        <f>_xlfn.FORECAST.ETS(A16,$B$2:$B$14,$A$2:$A$14,1,1)</f>
        <v>6.6369464367637621</v>
      </c>
      <c r="D16" s="8">
        <f>C16-_xlfn.FORECAST.ETS.CONFINT(A16,$B$2:$B$14,$A$2:$A$14,0.8,1,1)</f>
        <v>5.6734959624328667</v>
      </c>
      <c r="E16" s="8">
        <f>C16+_xlfn.FORECAST.ETS.CONFINT(A16,$B$2:$B$14,$A$2:$A$14,0.8,1,1)</f>
        <v>7.6003969110946574</v>
      </c>
    </row>
    <row r="17" spans="1:5" x14ac:dyDescent="0.45">
      <c r="A17">
        <v>2027</v>
      </c>
      <c r="C17" s="8">
        <f>_xlfn.FORECAST.ETS(A17,$B$2:$B$14,$A$2:$A$14,1,1)</f>
        <v>6.7074023671550451</v>
      </c>
      <c r="D17" s="8">
        <f>C17-_xlfn.FORECAST.ETS.CONFINT(A17,$B$2:$B$14,$A$2:$A$14,0.8,1,1)</f>
        <v>5.7155909115024031</v>
      </c>
      <c r="E17" s="8">
        <f>C17+_xlfn.FORECAST.ETS.CONFINT(A17,$B$2:$B$14,$A$2:$A$14,0.8,1,1)</f>
        <v>7.6992138228076872</v>
      </c>
    </row>
    <row r="18" spans="1:5" x14ac:dyDescent="0.45">
      <c r="A18">
        <v>2028</v>
      </c>
      <c r="C18" s="8">
        <f>_xlfn.FORECAST.ETS(A18,$B$2:$B$14,$A$2:$A$14,1,1)</f>
        <v>6.7778582975463273</v>
      </c>
      <c r="D18" s="8">
        <f>C18-_xlfn.FORECAST.ETS.CONFINT(A18,$B$2:$B$14,$A$2:$A$14,0.8,1,1)</f>
        <v>5.7582583327542691</v>
      </c>
      <c r="E18" s="8">
        <f>C18+_xlfn.FORECAST.ETS.CONFINT(A18,$B$2:$B$14,$A$2:$A$14,0.8,1,1)</f>
        <v>7.7974582623383855</v>
      </c>
    </row>
    <row r="19" spans="1:5" x14ac:dyDescent="0.45">
      <c r="A19">
        <v>2029</v>
      </c>
      <c r="C19" s="8">
        <f>_xlfn.FORECAST.ETS(A19,$B$2:$B$14,$A$2:$A$14,1,1)</f>
        <v>6.8483142279376095</v>
      </c>
      <c r="D19" s="8">
        <f>C19-_xlfn.FORECAST.ETS.CONFINT(A19,$B$2:$B$14,$A$2:$A$14,0.8,1,1)</f>
        <v>5.8014518029482085</v>
      </c>
      <c r="E19" s="8">
        <f>C19+_xlfn.FORECAST.ETS.CONFINT(A19,$B$2:$B$14,$A$2:$A$14,0.8,1,1)</f>
        <v>7.8951766529270104</v>
      </c>
    </row>
  </sheetData>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6EA861-B460-48FD-BB53-EA4DEABD5558}">
  <dimension ref="A1:E19"/>
  <sheetViews>
    <sheetView workbookViewId="0">
      <selection activeCell="D15" sqref="D15:E19"/>
    </sheetView>
  </sheetViews>
  <sheetFormatPr defaultRowHeight="14.25" x14ac:dyDescent="0.45"/>
  <cols>
    <col min="1" max="1" width="9.46484375" customWidth="1"/>
    <col min="3" max="3" width="9.53125" customWidth="1"/>
    <col min="4" max="5" width="22.3984375" customWidth="1"/>
  </cols>
  <sheetData>
    <row r="1" spans="1:5" x14ac:dyDescent="0.45">
      <c r="A1" t="s">
        <v>180</v>
      </c>
      <c r="B1" t="s">
        <v>181</v>
      </c>
      <c r="C1" t="s">
        <v>182</v>
      </c>
      <c r="D1" t="s">
        <v>183</v>
      </c>
      <c r="E1" t="s">
        <v>184</v>
      </c>
    </row>
    <row r="2" spans="1:5" x14ac:dyDescent="0.45">
      <c r="A2">
        <v>2012</v>
      </c>
      <c r="B2" s="8">
        <v>10.199999999999999</v>
      </c>
    </row>
    <row r="3" spans="1:5" x14ac:dyDescent="0.45">
      <c r="A3">
        <v>2013</v>
      </c>
      <c r="B3" s="8">
        <v>10.7</v>
      </c>
    </row>
    <row r="4" spans="1:5" x14ac:dyDescent="0.45">
      <c r="A4">
        <v>2014</v>
      </c>
      <c r="B4" s="8">
        <v>10.3</v>
      </c>
    </row>
    <row r="5" spans="1:5" x14ac:dyDescent="0.45">
      <c r="A5">
        <v>2015</v>
      </c>
      <c r="B5" s="8">
        <v>10.199999999999999</v>
      </c>
    </row>
    <row r="6" spans="1:5" x14ac:dyDescent="0.45">
      <c r="A6">
        <v>2016</v>
      </c>
      <c r="B6" s="8">
        <v>11.8</v>
      </c>
    </row>
    <row r="7" spans="1:5" x14ac:dyDescent="0.45">
      <c r="A7">
        <v>2017</v>
      </c>
      <c r="B7" s="8">
        <v>10.9</v>
      </c>
    </row>
    <row r="8" spans="1:5" x14ac:dyDescent="0.45">
      <c r="A8">
        <v>2018</v>
      </c>
      <c r="B8" s="8">
        <v>10.7</v>
      </c>
    </row>
    <row r="9" spans="1:5" x14ac:dyDescent="0.45">
      <c r="A9">
        <v>2019</v>
      </c>
      <c r="B9" s="8">
        <v>9.9</v>
      </c>
    </row>
    <row r="10" spans="1:5" x14ac:dyDescent="0.45">
      <c r="A10">
        <v>2020</v>
      </c>
      <c r="B10" s="8">
        <v>10.9</v>
      </c>
    </row>
    <row r="11" spans="1:5" x14ac:dyDescent="0.45">
      <c r="A11">
        <v>2021</v>
      </c>
      <c r="B11" s="8">
        <v>11.3</v>
      </c>
    </row>
    <row r="12" spans="1:5" x14ac:dyDescent="0.45">
      <c r="A12">
        <v>2022</v>
      </c>
      <c r="B12" s="8">
        <v>12.1</v>
      </c>
    </row>
    <row r="13" spans="1:5" x14ac:dyDescent="0.45">
      <c r="A13">
        <v>2023</v>
      </c>
      <c r="B13" s="8">
        <v>11.6</v>
      </c>
    </row>
    <row r="14" spans="1:5" x14ac:dyDescent="0.45">
      <c r="A14">
        <v>2024</v>
      </c>
      <c r="B14" s="8">
        <v>12.59</v>
      </c>
      <c r="C14" s="8">
        <v>12.59</v>
      </c>
      <c r="D14" s="8">
        <v>12.59</v>
      </c>
      <c r="E14" s="8">
        <v>12.59</v>
      </c>
    </row>
    <row r="15" spans="1:5" x14ac:dyDescent="0.45">
      <c r="A15">
        <v>2025</v>
      </c>
      <c r="C15" s="8">
        <f>_xlfn.FORECAST.ETS(A15,$B$2:$B$14,$A$2:$A$14,1,1)</f>
        <v>12.088661122157216</v>
      </c>
      <c r="D15" s="8">
        <f>C15-_xlfn.FORECAST.ETS.CONFINT(A15,$B$2:$B$14,$A$2:$A$14,0.8,1,1)</f>
        <v>11.359900952009774</v>
      </c>
      <c r="E15" s="8">
        <f>C15+_xlfn.FORECAST.ETS.CONFINT(A15,$B$2:$B$14,$A$2:$A$14,0.8,1,1)</f>
        <v>12.817421292304658</v>
      </c>
    </row>
    <row r="16" spans="1:5" x14ac:dyDescent="0.45">
      <c r="A16">
        <v>2026</v>
      </c>
      <c r="C16" s="8">
        <f>_xlfn.FORECAST.ETS(A16,$B$2:$B$14,$A$2:$A$14,1,1)</f>
        <v>12.233714269731751</v>
      </c>
      <c r="D16" s="8">
        <f>C16-_xlfn.FORECAST.ETS.CONFINT(A16,$B$2:$B$14,$A$2:$A$14,0.8,1,1)</f>
        <v>11.504950820170922</v>
      </c>
      <c r="E16" s="8">
        <f>C16+_xlfn.FORECAST.ETS.CONFINT(A16,$B$2:$B$14,$A$2:$A$14,0.8,1,1)</f>
        <v>12.962477719292579</v>
      </c>
    </row>
    <row r="17" spans="1:5" x14ac:dyDescent="0.45">
      <c r="A17">
        <v>2027</v>
      </c>
      <c r="C17" s="8">
        <f>_xlfn.FORECAST.ETS(A17,$B$2:$B$14,$A$2:$A$14,1,1)</f>
        <v>12.378767417306284</v>
      </c>
      <c r="D17" s="8">
        <f>C17-_xlfn.FORECAST.ETS.CONFINT(A17,$B$2:$B$14,$A$2:$A$14,0.8,1,1)</f>
        <v>11.649998137713649</v>
      </c>
      <c r="E17" s="8">
        <f>C17+_xlfn.FORECAST.ETS.CONFINT(A17,$B$2:$B$14,$A$2:$A$14,0.8,1,1)</f>
        <v>13.107536696898919</v>
      </c>
    </row>
    <row r="18" spans="1:5" x14ac:dyDescent="0.45">
      <c r="A18">
        <v>2028</v>
      </c>
      <c r="C18" s="8">
        <f>_xlfn.FORECAST.ETS(A18,$B$2:$B$14,$A$2:$A$14,1,1)</f>
        <v>12.523820564880818</v>
      </c>
      <c r="D18" s="8">
        <f>C18-_xlfn.FORECAST.ETS.CONFINT(A18,$B$2:$B$14,$A$2:$A$14,0.8,1,1)</f>
        <v>11.795042175956855</v>
      </c>
      <c r="E18" s="8">
        <f>C18+_xlfn.FORECAST.ETS.CONFINT(A18,$B$2:$B$14,$A$2:$A$14,0.8,1,1)</f>
        <v>13.252598953804782</v>
      </c>
    </row>
    <row r="19" spans="1:5" x14ac:dyDescent="0.45">
      <c r="A19">
        <v>2029</v>
      </c>
      <c r="C19" s="8">
        <f>_xlfn.FORECAST.ETS(A19,$B$2:$B$14,$A$2:$A$14,1,1)</f>
        <v>12.668873712455351</v>
      </c>
      <c r="D19" s="8">
        <f>C19-_xlfn.FORECAST.ETS.CONFINT(A19,$B$2:$B$14,$A$2:$A$14,0.8,1,1)</f>
        <v>11.940082206294303</v>
      </c>
      <c r="E19" s="8">
        <f>C19+_xlfn.FORECAST.ETS.CONFINT(A19,$B$2:$B$14,$A$2:$A$14,0.8,1,1)</f>
        <v>13.3976652186164</v>
      </c>
    </row>
  </sheetData>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EB8213-9C7E-4042-B36F-AFFA4D4015A0}">
  <dimension ref="A1:E19"/>
  <sheetViews>
    <sheetView zoomScale="115" zoomScaleNormal="115" workbookViewId="0"/>
  </sheetViews>
  <sheetFormatPr defaultRowHeight="14.25" x14ac:dyDescent="0.45"/>
  <cols>
    <col min="1" max="1" width="9.46484375" customWidth="1"/>
    <col min="3" max="3" width="9.53125" customWidth="1"/>
    <col min="4" max="5" width="22.3984375" customWidth="1"/>
  </cols>
  <sheetData>
    <row r="1" spans="1:5" x14ac:dyDescent="0.45">
      <c r="A1" t="s">
        <v>180</v>
      </c>
      <c r="B1" t="s">
        <v>181</v>
      </c>
      <c r="C1" t="s">
        <v>182</v>
      </c>
      <c r="D1" t="s">
        <v>183</v>
      </c>
      <c r="E1" t="s">
        <v>184</v>
      </c>
    </row>
    <row r="2" spans="1:5" x14ac:dyDescent="0.45">
      <c r="A2">
        <v>2012</v>
      </c>
      <c r="B2">
        <v>30.085999999999999</v>
      </c>
    </row>
    <row r="3" spans="1:5" x14ac:dyDescent="0.45">
      <c r="A3">
        <v>2013</v>
      </c>
      <c r="B3">
        <v>32.667000000000002</v>
      </c>
    </row>
    <row r="4" spans="1:5" x14ac:dyDescent="0.45">
      <c r="A4">
        <v>2014</v>
      </c>
      <c r="B4">
        <v>37.715000000000003</v>
      </c>
    </row>
    <row r="5" spans="1:5" x14ac:dyDescent="0.45">
      <c r="A5">
        <v>2015</v>
      </c>
      <c r="B5">
        <v>35</v>
      </c>
    </row>
    <row r="6" spans="1:5" x14ac:dyDescent="0.45">
      <c r="A6">
        <v>2016</v>
      </c>
      <c r="B6">
        <v>37.25</v>
      </c>
    </row>
    <row r="7" spans="1:5" x14ac:dyDescent="0.45">
      <c r="A7">
        <v>2017</v>
      </c>
      <c r="B7">
        <v>41.55</v>
      </c>
    </row>
    <row r="8" spans="1:5" x14ac:dyDescent="0.45">
      <c r="A8">
        <v>2018</v>
      </c>
      <c r="B8">
        <v>44.87</v>
      </c>
    </row>
    <row r="9" spans="1:5" x14ac:dyDescent="0.45">
      <c r="A9">
        <v>2019</v>
      </c>
      <c r="B9">
        <v>40.81</v>
      </c>
    </row>
    <row r="10" spans="1:5" x14ac:dyDescent="0.45">
      <c r="A10">
        <v>2020</v>
      </c>
      <c r="B10">
        <v>39.409999999999997</v>
      </c>
    </row>
    <row r="11" spans="1:5" x14ac:dyDescent="0.45">
      <c r="A11">
        <v>2021</v>
      </c>
      <c r="B11">
        <v>43.32</v>
      </c>
    </row>
    <row r="12" spans="1:5" x14ac:dyDescent="0.45">
      <c r="A12">
        <v>2022</v>
      </c>
      <c r="B12">
        <v>49.75</v>
      </c>
    </row>
    <row r="13" spans="1:5" x14ac:dyDescent="0.45">
      <c r="A13">
        <v>2023</v>
      </c>
      <c r="B13">
        <v>53.76</v>
      </c>
    </row>
    <row r="14" spans="1:5" x14ac:dyDescent="0.45">
      <c r="A14">
        <v>2024</v>
      </c>
      <c r="B14">
        <v>64</v>
      </c>
      <c r="C14">
        <v>64</v>
      </c>
      <c r="D14" s="8">
        <v>64</v>
      </c>
      <c r="E14" s="8">
        <v>64</v>
      </c>
    </row>
    <row r="15" spans="1:5" x14ac:dyDescent="0.45">
      <c r="A15">
        <v>2025</v>
      </c>
      <c r="C15">
        <f>_xlfn.FORECAST.ETS(A15,$B$2:$B$14,$A$2:$A$14,1,1)</f>
        <v>57.575001968756908</v>
      </c>
      <c r="D15" s="8">
        <f>C15-_xlfn.FORECAST.ETS.CONFINT(A15,$B$2:$B$14,$A$2:$A$14,0.95,1,1)</f>
        <v>49.782665371719077</v>
      </c>
      <c r="E15" s="8">
        <f>C15+_xlfn.FORECAST.ETS.CONFINT(A15,$B$2:$B$14,$A$2:$A$14,0.95,1,1)</f>
        <v>65.367338565794739</v>
      </c>
    </row>
    <row r="16" spans="1:5" x14ac:dyDescent="0.45">
      <c r="A16">
        <v>2026</v>
      </c>
      <c r="C16">
        <f>_xlfn.FORECAST.ETS(A16,$B$2:$B$14,$A$2:$A$14,1,1)</f>
        <v>59.687724395690218</v>
      </c>
      <c r="D16" s="8">
        <f>C16-_xlfn.FORECAST.ETS.CONFINT(A16,$B$2:$B$14,$A$2:$A$14,0.95,1,1)</f>
        <v>51.895352733216598</v>
      </c>
      <c r="E16" s="8">
        <f>C16+_xlfn.FORECAST.ETS.CONFINT(A16,$B$2:$B$14,$A$2:$A$14,0.95,1,1)</f>
        <v>67.480096058163838</v>
      </c>
    </row>
    <row r="17" spans="1:5" x14ac:dyDescent="0.45">
      <c r="A17">
        <v>2027</v>
      </c>
      <c r="C17">
        <f>_xlfn.FORECAST.ETS(A17,$B$2:$B$14,$A$2:$A$14,1,1)</f>
        <v>61.800446822623528</v>
      </c>
      <c r="D17" s="8">
        <f>C17-_xlfn.FORECAST.ETS.CONFINT(A17,$B$2:$B$14,$A$2:$A$14,0.95,1,1)</f>
        <v>54.008012821987002</v>
      </c>
      <c r="E17" s="8">
        <f>C17+_xlfn.FORECAST.ETS.CONFINT(A17,$B$2:$B$14,$A$2:$A$14,0.95,1,1)</f>
        <v>69.592880823260046</v>
      </c>
    </row>
    <row r="18" spans="1:5" x14ac:dyDescent="0.45">
      <c r="A18">
        <v>2028</v>
      </c>
      <c r="C18">
        <f>_xlfn.FORECAST.ETS(A18,$B$2:$B$14,$A$2:$A$14,1,1)</f>
        <v>63.913169249556844</v>
      </c>
      <c r="D18" s="8">
        <f>C18-_xlfn.FORECAST.ETS.CONFINT(A18,$B$2:$B$14,$A$2:$A$14,0.95,1,1)</f>
        <v>56.120637846539132</v>
      </c>
      <c r="E18" s="8">
        <f>C18+_xlfn.FORECAST.ETS.CONFINT(A18,$B$2:$B$14,$A$2:$A$14,0.95,1,1)</f>
        <v>71.705700652574563</v>
      </c>
    </row>
    <row r="19" spans="1:5" x14ac:dyDescent="0.45">
      <c r="A19">
        <v>2029</v>
      </c>
      <c r="C19">
        <f>_xlfn.FORECAST.ETS(A19,$B$2:$B$14,$A$2:$A$14,1,1)</f>
        <v>66.025891676490147</v>
      </c>
      <c r="D19" s="8">
        <f>C19-_xlfn.FORECAST.ETS.CONFINT(A19,$B$2:$B$14,$A$2:$A$14,0.95,1,1)</f>
        <v>58.233220016182351</v>
      </c>
      <c r="E19" s="8">
        <f>C19+_xlfn.FORECAST.ETS.CONFINT(A19,$B$2:$B$14,$A$2:$A$14,0.95,1,1)</f>
        <v>73.818563336797951</v>
      </c>
    </row>
  </sheetData>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594733-20DF-4CD2-9201-4DE679424E28}">
  <dimension ref="A1:E14"/>
  <sheetViews>
    <sheetView workbookViewId="0"/>
  </sheetViews>
  <sheetFormatPr defaultRowHeight="14.25" x14ac:dyDescent="0.45"/>
  <cols>
    <col min="1" max="1" width="9.46484375" customWidth="1"/>
    <col min="3" max="3" width="9.53125" customWidth="1"/>
    <col min="4" max="5" width="22.3984375" customWidth="1"/>
  </cols>
  <sheetData>
    <row r="1" spans="1:5" x14ac:dyDescent="0.45">
      <c r="A1" t="s">
        <v>180</v>
      </c>
      <c r="B1" t="s">
        <v>181</v>
      </c>
      <c r="C1" t="s">
        <v>182</v>
      </c>
      <c r="D1" t="s">
        <v>183</v>
      </c>
      <c r="E1" t="s">
        <v>184</v>
      </c>
    </row>
    <row r="2" spans="1:5" x14ac:dyDescent="0.45">
      <c r="A2">
        <v>1</v>
      </c>
      <c r="B2">
        <v>77</v>
      </c>
    </row>
    <row r="3" spans="1:5" x14ac:dyDescent="0.45">
      <c r="A3">
        <v>2</v>
      </c>
      <c r="B3">
        <v>82</v>
      </c>
    </row>
    <row r="4" spans="1:5" x14ac:dyDescent="0.45">
      <c r="A4">
        <v>3</v>
      </c>
      <c r="B4">
        <v>84</v>
      </c>
    </row>
    <row r="5" spans="1:5" x14ac:dyDescent="0.45">
      <c r="A5">
        <v>4</v>
      </c>
      <c r="B5">
        <v>78.12</v>
      </c>
    </row>
    <row r="6" spans="1:5" x14ac:dyDescent="0.45">
      <c r="A6">
        <v>5</v>
      </c>
      <c r="B6">
        <v>77.25</v>
      </c>
    </row>
    <row r="7" spans="1:5" x14ac:dyDescent="0.45">
      <c r="A7">
        <v>6</v>
      </c>
      <c r="B7">
        <v>83.23</v>
      </c>
    </row>
    <row r="8" spans="1:5" x14ac:dyDescent="0.45">
      <c r="A8">
        <v>7</v>
      </c>
      <c r="B8">
        <v>76.31</v>
      </c>
    </row>
    <row r="9" spans="1:5" x14ac:dyDescent="0.45">
      <c r="A9">
        <v>8</v>
      </c>
      <c r="B9">
        <v>91.01</v>
      </c>
    </row>
    <row r="10" spans="1:5" x14ac:dyDescent="0.45">
      <c r="A10">
        <v>9</v>
      </c>
      <c r="B10">
        <v>85</v>
      </c>
      <c r="C10">
        <v>85</v>
      </c>
      <c r="D10" s="8">
        <v>85</v>
      </c>
      <c r="E10" s="8">
        <v>85</v>
      </c>
    </row>
    <row r="11" spans="1:5" x14ac:dyDescent="0.45">
      <c r="A11">
        <v>10</v>
      </c>
      <c r="C11">
        <f>_xlfn.FORECAST.ETS(A11,$B$2:$B$10,$A$2:$A$10,1,1)</f>
        <v>84.394179238322437</v>
      </c>
      <c r="D11" s="8">
        <f>C11-_xlfn.FORECAST.ETS.CONFINT(A11,$B$2:$B$10,$A$2:$A$10,0.95,1,1)</f>
        <v>76.026288629568683</v>
      </c>
      <c r="E11" s="8">
        <f>C11+_xlfn.FORECAST.ETS.CONFINT(A11,$B$2:$B$10,$A$2:$A$10,0.95,1,1)</f>
        <v>92.762069847076191</v>
      </c>
    </row>
    <row r="12" spans="1:5" x14ac:dyDescent="0.45">
      <c r="A12">
        <v>11</v>
      </c>
      <c r="C12">
        <f>_xlfn.FORECAST.ETS(A12,$B$2:$B$10,$A$2:$A$10,1,1)</f>
        <v>85.218234468330238</v>
      </c>
      <c r="D12" s="8">
        <f>C12-_xlfn.FORECAST.ETS.CONFINT(A12,$B$2:$B$10,$A$2:$A$10,0.95,1,1)</f>
        <v>76.850306204153469</v>
      </c>
      <c r="E12" s="8">
        <f>C12+_xlfn.FORECAST.ETS.CONFINT(A12,$B$2:$B$10,$A$2:$A$10,0.95,1,1)</f>
        <v>93.586162732507006</v>
      </c>
    </row>
    <row r="13" spans="1:5" x14ac:dyDescent="0.45">
      <c r="A13">
        <v>12</v>
      </c>
      <c r="C13">
        <f>_xlfn.FORECAST.ETS(A13,$B$2:$B$10,$A$2:$A$10,1,1)</f>
        <v>86.042289698338038</v>
      </c>
      <c r="D13" s="8">
        <f>C13-_xlfn.FORECAST.ETS.CONFINT(A13,$B$2:$B$10,$A$2:$A$10,0.95,1,1)</f>
        <v>77.674294491605409</v>
      </c>
      <c r="E13" s="8">
        <f>C13+_xlfn.FORECAST.ETS.CONFINT(A13,$B$2:$B$10,$A$2:$A$10,0.95,1,1)</f>
        <v>94.410284905070668</v>
      </c>
    </row>
    <row r="14" spans="1:5" x14ac:dyDescent="0.45">
      <c r="A14">
        <v>13</v>
      </c>
      <c r="C14">
        <f>_xlfn.FORECAST.ETS(A14,$B$2:$B$10,$A$2:$A$10,1,1)</f>
        <v>86.866344928345839</v>
      </c>
      <c r="D14" s="8">
        <f>C14-_xlfn.FORECAST.ETS.CONFINT(A14,$B$2:$B$10,$A$2:$A$10,0.95,1,1)</f>
        <v>78.498245124941761</v>
      </c>
      <c r="E14" s="8">
        <f>C14+_xlfn.FORECAST.ETS.CONFINT(A14,$B$2:$B$10,$A$2:$A$10,0.95,1,1)</f>
        <v>95.234444731749917</v>
      </c>
    </row>
  </sheetData>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1</vt:i4>
      </vt:variant>
    </vt:vector>
  </HeadingPairs>
  <TitlesOfParts>
    <vt:vector size="16" baseType="lpstr">
      <vt:lpstr>Documentation</vt:lpstr>
      <vt:lpstr>Base Forecast</vt:lpstr>
      <vt:lpstr>Bear Forecast</vt:lpstr>
      <vt:lpstr>Bull Forecast</vt:lpstr>
      <vt:lpstr>Gateway fore</vt:lpstr>
      <vt:lpstr>TS fore </vt:lpstr>
      <vt:lpstr>Conv fore </vt:lpstr>
      <vt:lpstr>Rental fore</vt:lpstr>
      <vt:lpstr>Marine fore</vt:lpstr>
      <vt:lpstr>Q4 forecast</vt:lpstr>
      <vt:lpstr>Working</vt:lpstr>
      <vt:lpstr>Slides</vt:lpstr>
      <vt:lpstr>Data</vt:lpstr>
      <vt:lpstr>IS</vt:lpstr>
      <vt:lpstr>Sheet3</vt:lpstr>
      <vt:lpstr>increment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 x</dc:creator>
  <cp:lastModifiedBy>w x</cp:lastModifiedBy>
  <dcterms:created xsi:type="dcterms:W3CDTF">2024-12-16T05:37:32Z</dcterms:created>
  <dcterms:modified xsi:type="dcterms:W3CDTF">2024-12-24T10:41:55Z</dcterms:modified>
</cp:coreProperties>
</file>